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dhsintra\dhcs\ADP\ADPGroups\FMAB\FM\Cost Reports\Cost 20-21\Mail Outs\Mail Out Hard Copy - ODS\ODS Forms\"/>
    </mc:Choice>
  </mc:AlternateContent>
  <xr:revisionPtr revIDLastSave="0" documentId="13_ncr:1_{51A13E1D-83F1-4F1B-90E8-16BD08A46B1F}" xr6:coauthVersionLast="47" xr6:coauthVersionMax="47" xr10:uidLastSave="{00000000-0000-0000-0000-000000000000}"/>
  <bookViews>
    <workbookView xWindow="-28665" yWindow="750" windowWidth="26580" windowHeight="13410" xr2:uid="{00000000-000D-0000-FFFF-FFFF00000000}"/>
  </bookViews>
  <sheets>
    <sheet name="7990NTP-NP" sheetId="7" r:id="rId1"/>
    <sheet name="FL Info" sheetId="13" r:id="rId2"/>
  </sheets>
  <definedNames>
    <definedName name="\\I4" hidden="1">#NAME?</definedName>
    <definedName name="\\I8" hidden="1">#NAME?</definedName>
    <definedName name="\I">#REF!</definedName>
    <definedName name="\I2">#REF!</definedName>
    <definedName name="\I3">#REF!</definedName>
    <definedName name="\I4">#REF!</definedName>
    <definedName name="\I5">#REF!</definedName>
    <definedName name="\I6">#REF!</definedName>
    <definedName name="\I7">#REF!</definedName>
    <definedName name="\I8">#REF!</definedName>
    <definedName name="\I8a">#REF!</definedName>
    <definedName name="\I9">#REF!</definedName>
    <definedName name="_1_5">#REF!</definedName>
    <definedName name="BACKA">#REF!</definedName>
    <definedName name="BACKB">#REF!</definedName>
    <definedName name="BACKC">#REF!</definedName>
    <definedName name="BACKD">#REF!</definedName>
    <definedName name="BLOCK">#REF!</definedName>
    <definedName name="i">#REF!</definedName>
    <definedName name="_xlnm.Print_Area" localSheetId="0">'7990NTP-NP'!$A$1:$R$89</definedName>
    <definedName name="_xlnm.Print_Area" localSheetId="1">'FL Info'!$A$1:$AC$315</definedName>
    <definedName name="repor1">#REF!</definedName>
    <definedName name="RE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1" i="13" l="1"/>
  <c r="I240" i="13"/>
  <c r="I239" i="13"/>
  <c r="I238" i="13"/>
  <c r="AB126" i="13" l="1"/>
  <c r="X126" i="13"/>
  <c r="T126" i="13"/>
  <c r="P126" i="13"/>
  <c r="L126" i="13"/>
  <c r="H126" i="13"/>
  <c r="D126" i="13"/>
  <c r="AB85" i="13"/>
  <c r="X85" i="13"/>
  <c r="T85" i="13"/>
  <c r="P85" i="13"/>
  <c r="L85" i="13"/>
  <c r="H85" i="13"/>
  <c r="D85" i="13"/>
  <c r="K53" i="7"/>
  <c r="C126" i="13" s="1"/>
  <c r="L53" i="7"/>
  <c r="G126" i="13" s="1"/>
  <c r="M53" i="7"/>
  <c r="K126" i="13" s="1"/>
  <c r="N53" i="7"/>
  <c r="O126" i="13" s="1"/>
  <c r="O53" i="7"/>
  <c r="S126" i="13" s="1"/>
  <c r="P53" i="7"/>
  <c r="W126" i="13" s="1"/>
  <c r="Q53" i="7"/>
  <c r="AA126" i="13" s="1"/>
  <c r="K38" i="7"/>
  <c r="L38" i="7"/>
  <c r="G85" i="13" s="1"/>
  <c r="M38" i="7"/>
  <c r="K85" i="13" s="1"/>
  <c r="N38" i="7"/>
  <c r="O85" i="13" s="1"/>
  <c r="O38" i="7"/>
  <c r="S85" i="13" s="1"/>
  <c r="P38" i="7"/>
  <c r="W85" i="13" s="1"/>
  <c r="Q38" i="7"/>
  <c r="AA85" i="13" s="1"/>
  <c r="AB163" i="13"/>
  <c r="X163" i="13"/>
  <c r="T163" i="13"/>
  <c r="P163" i="13"/>
  <c r="L163" i="13"/>
  <c r="H163" i="13"/>
  <c r="D163" i="13"/>
  <c r="AB133" i="13"/>
  <c r="X133" i="13"/>
  <c r="T133" i="13"/>
  <c r="P133" i="13"/>
  <c r="L133" i="13"/>
  <c r="H133" i="13"/>
  <c r="D133" i="13"/>
  <c r="D63" i="7"/>
  <c r="E63" i="7"/>
  <c r="F63" i="7"/>
  <c r="G63" i="7"/>
  <c r="H63" i="7"/>
  <c r="B75" i="7" s="1"/>
  <c r="I63" i="7"/>
  <c r="B76" i="7" s="1"/>
  <c r="C63" i="7"/>
  <c r="R38" i="7" l="1"/>
  <c r="R53" i="7"/>
  <c r="C85" i="13"/>
  <c r="AC85" i="13" s="1"/>
  <c r="AC126" i="13"/>
  <c r="AB223" i="13"/>
  <c r="X223" i="13"/>
  <c r="T223" i="13"/>
  <c r="P223" i="13"/>
  <c r="L223" i="13"/>
  <c r="H223" i="13"/>
  <c r="D223" i="13"/>
  <c r="D76" i="7"/>
  <c r="D75" i="7"/>
  <c r="D74" i="7"/>
  <c r="D73" i="7"/>
  <c r="D72" i="7"/>
  <c r="D71" i="7"/>
  <c r="D70" i="7"/>
  <c r="B71" i="7"/>
  <c r="B72" i="7"/>
  <c r="B73" i="7"/>
  <c r="B74" i="7"/>
  <c r="B70" i="7" l="1"/>
  <c r="X21" i="13"/>
  <c r="AB147" i="13" l="1"/>
  <c r="AB144" i="13"/>
  <c r="AB141" i="13"/>
  <c r="AB138" i="13"/>
  <c r="AB135" i="13"/>
  <c r="AB131" i="13"/>
  <c r="AB128" i="13"/>
  <c r="AB124" i="13"/>
  <c r="AB121" i="13"/>
  <c r="AB118" i="13"/>
  <c r="AB115" i="13"/>
  <c r="AB112" i="13"/>
  <c r="AB110" i="13"/>
  <c r="AB107" i="13"/>
  <c r="AB104" i="13"/>
  <c r="AB101" i="13"/>
  <c r="AB99" i="13"/>
  <c r="AB96" i="13"/>
  <c r="AB93" i="13"/>
  <c r="AB90" i="13"/>
  <c r="AB87" i="13"/>
  <c r="AB82" i="13"/>
  <c r="AB79" i="13"/>
  <c r="AB76" i="13"/>
  <c r="AB73" i="13"/>
  <c r="AB71" i="13"/>
  <c r="AB68" i="13"/>
  <c r="AB65" i="13"/>
  <c r="AB62" i="13"/>
  <c r="AB60" i="13"/>
  <c r="AB57" i="13"/>
  <c r="AB54" i="13"/>
  <c r="AB51" i="13"/>
  <c r="AB48" i="13"/>
  <c r="AB45" i="13"/>
  <c r="AB42" i="13"/>
  <c r="AB39" i="13"/>
  <c r="AB36" i="13"/>
  <c r="AB34" i="13"/>
  <c r="AB31" i="13"/>
  <c r="AB28" i="13"/>
  <c r="AB25" i="13"/>
  <c r="AB23" i="13"/>
  <c r="AB21" i="13"/>
  <c r="AB18" i="13"/>
  <c r="X147" i="13"/>
  <c r="X144" i="13"/>
  <c r="X141" i="13"/>
  <c r="X138" i="13"/>
  <c r="X135" i="13"/>
  <c r="X131" i="13"/>
  <c r="X128" i="13"/>
  <c r="X124" i="13"/>
  <c r="X121" i="13"/>
  <c r="X118" i="13"/>
  <c r="X115" i="13"/>
  <c r="X112" i="13"/>
  <c r="X110" i="13"/>
  <c r="X107" i="13"/>
  <c r="X104" i="13"/>
  <c r="X101" i="13"/>
  <c r="X99" i="13"/>
  <c r="X96" i="13"/>
  <c r="X93" i="13"/>
  <c r="X90" i="13"/>
  <c r="X87" i="13"/>
  <c r="X82" i="13"/>
  <c r="X79" i="13"/>
  <c r="X76" i="13"/>
  <c r="X73" i="13"/>
  <c r="X71" i="13"/>
  <c r="X68" i="13"/>
  <c r="X65" i="13"/>
  <c r="X62" i="13"/>
  <c r="X60" i="13"/>
  <c r="X57" i="13"/>
  <c r="X54" i="13"/>
  <c r="X51" i="13"/>
  <c r="X48" i="13"/>
  <c r="X45" i="13"/>
  <c r="X42" i="13"/>
  <c r="X39" i="13"/>
  <c r="X36" i="13"/>
  <c r="X34" i="13"/>
  <c r="X31" i="13"/>
  <c r="X28" i="13"/>
  <c r="X25" i="13"/>
  <c r="X23" i="13"/>
  <c r="X18" i="13"/>
  <c r="AB225" i="13" l="1"/>
  <c r="AB222" i="13"/>
  <c r="X225" i="13"/>
  <c r="X222" i="13"/>
  <c r="T225" i="13"/>
  <c r="T222" i="13"/>
  <c r="P225" i="13"/>
  <c r="P222" i="13"/>
  <c r="L225" i="13"/>
  <c r="L222" i="13"/>
  <c r="H225" i="13"/>
  <c r="H222" i="13"/>
  <c r="T147" i="13"/>
  <c r="T144" i="13"/>
  <c r="T141" i="13"/>
  <c r="T138" i="13"/>
  <c r="T135" i="13"/>
  <c r="T131" i="13"/>
  <c r="T128" i="13"/>
  <c r="T124" i="13"/>
  <c r="T121" i="13"/>
  <c r="T118" i="13"/>
  <c r="T115" i="13"/>
  <c r="T112" i="13"/>
  <c r="T110" i="13"/>
  <c r="T107" i="13"/>
  <c r="T104" i="13"/>
  <c r="T101" i="13"/>
  <c r="T99" i="13"/>
  <c r="T96" i="13"/>
  <c r="T93" i="13"/>
  <c r="T90" i="13"/>
  <c r="T87" i="13"/>
  <c r="T82" i="13"/>
  <c r="T79" i="13"/>
  <c r="T76" i="13"/>
  <c r="T73" i="13"/>
  <c r="T71" i="13"/>
  <c r="T68" i="13"/>
  <c r="T65" i="13"/>
  <c r="T62" i="13"/>
  <c r="T60" i="13"/>
  <c r="T57" i="13"/>
  <c r="T54" i="13"/>
  <c r="T51" i="13"/>
  <c r="T48" i="13"/>
  <c r="T45" i="13"/>
  <c r="T42" i="13"/>
  <c r="T39" i="13"/>
  <c r="T36" i="13"/>
  <c r="T34" i="13"/>
  <c r="T31" i="13"/>
  <c r="T28" i="13"/>
  <c r="T25" i="13"/>
  <c r="T23" i="13"/>
  <c r="T21" i="13"/>
  <c r="T18" i="13"/>
  <c r="P147" i="13"/>
  <c r="P144" i="13"/>
  <c r="P141" i="13"/>
  <c r="P138" i="13"/>
  <c r="P135" i="13"/>
  <c r="P131" i="13"/>
  <c r="P128" i="13"/>
  <c r="P124" i="13"/>
  <c r="P121" i="13"/>
  <c r="P118" i="13"/>
  <c r="P115" i="13"/>
  <c r="P112" i="13"/>
  <c r="P110" i="13"/>
  <c r="P107" i="13"/>
  <c r="P104" i="13"/>
  <c r="P101" i="13"/>
  <c r="P99" i="13"/>
  <c r="P96" i="13"/>
  <c r="P93" i="13"/>
  <c r="P90" i="13"/>
  <c r="P87" i="13"/>
  <c r="P82" i="13"/>
  <c r="P79" i="13"/>
  <c r="P76" i="13"/>
  <c r="P73" i="13"/>
  <c r="P71" i="13"/>
  <c r="P68" i="13"/>
  <c r="P65" i="13"/>
  <c r="P62" i="13"/>
  <c r="P60" i="13"/>
  <c r="P57" i="13"/>
  <c r="P54" i="13"/>
  <c r="P51" i="13"/>
  <c r="P48" i="13"/>
  <c r="P45" i="13"/>
  <c r="P42" i="13"/>
  <c r="P39" i="13"/>
  <c r="P36" i="13"/>
  <c r="P34" i="13"/>
  <c r="P31" i="13"/>
  <c r="P28" i="13"/>
  <c r="P25" i="13"/>
  <c r="P21" i="13"/>
  <c r="P18" i="13"/>
  <c r="P23" i="13"/>
  <c r="L147" i="13"/>
  <c r="L144" i="13"/>
  <c r="L141" i="13"/>
  <c r="L138" i="13"/>
  <c r="L135" i="13"/>
  <c r="L131" i="13"/>
  <c r="L128" i="13"/>
  <c r="L124" i="13"/>
  <c r="L121" i="13"/>
  <c r="L118" i="13"/>
  <c r="L115" i="13"/>
  <c r="L112" i="13"/>
  <c r="L110" i="13"/>
  <c r="L107" i="13"/>
  <c r="L104" i="13"/>
  <c r="L101" i="13"/>
  <c r="L99" i="13"/>
  <c r="L96" i="13"/>
  <c r="L93" i="13"/>
  <c r="L90" i="13"/>
  <c r="L87" i="13"/>
  <c r="L82" i="13"/>
  <c r="L79" i="13"/>
  <c r="L76" i="13"/>
  <c r="L73" i="13"/>
  <c r="L71" i="13"/>
  <c r="L68" i="13"/>
  <c r="L65" i="13"/>
  <c r="L62" i="13"/>
  <c r="L60" i="13"/>
  <c r="L57" i="13"/>
  <c r="L54" i="13"/>
  <c r="L51" i="13"/>
  <c r="L48" i="13"/>
  <c r="L45" i="13"/>
  <c r="L42" i="13"/>
  <c r="L39" i="13"/>
  <c r="L36" i="13"/>
  <c r="L34" i="13"/>
  <c r="L31" i="13"/>
  <c r="L28" i="13"/>
  <c r="L25" i="13"/>
  <c r="L23" i="13"/>
  <c r="L21" i="13"/>
  <c r="L18" i="13"/>
  <c r="H147" i="13" l="1"/>
  <c r="H144" i="13"/>
  <c r="H141" i="13"/>
  <c r="H138" i="13"/>
  <c r="H135" i="13"/>
  <c r="H131" i="13"/>
  <c r="H128" i="13"/>
  <c r="H124" i="13"/>
  <c r="H121" i="13"/>
  <c r="H118" i="13"/>
  <c r="H115" i="13"/>
  <c r="H112" i="13"/>
  <c r="H110" i="13"/>
  <c r="H107" i="13"/>
  <c r="H104" i="13"/>
  <c r="H101" i="13"/>
  <c r="H99" i="13"/>
  <c r="H96" i="13"/>
  <c r="H93" i="13"/>
  <c r="H90" i="13"/>
  <c r="H87" i="13"/>
  <c r="H82" i="13"/>
  <c r="H79" i="13"/>
  <c r="H76" i="13"/>
  <c r="H73" i="13"/>
  <c r="H71" i="13"/>
  <c r="H68" i="13"/>
  <c r="H65" i="13"/>
  <c r="H62" i="13"/>
  <c r="H60" i="13"/>
  <c r="H57" i="13"/>
  <c r="H54" i="13"/>
  <c r="H51" i="13"/>
  <c r="H48" i="13"/>
  <c r="H45" i="13"/>
  <c r="H42" i="13"/>
  <c r="H39" i="13"/>
  <c r="H36" i="13"/>
  <c r="H34" i="13"/>
  <c r="H31" i="13"/>
  <c r="H28" i="13"/>
  <c r="H25" i="13"/>
  <c r="H23" i="13"/>
  <c r="H21" i="13"/>
  <c r="H18" i="13"/>
  <c r="D18" i="13" l="1"/>
  <c r="D225" i="13"/>
  <c r="D222" i="13"/>
  <c r="D147" i="13"/>
  <c r="D144" i="13"/>
  <c r="D141" i="13"/>
  <c r="D138" i="13"/>
  <c r="D135" i="13"/>
  <c r="D131" i="13"/>
  <c r="D128" i="13"/>
  <c r="D124" i="13"/>
  <c r="D121" i="13"/>
  <c r="D118" i="13"/>
  <c r="D112" i="13"/>
  <c r="D115" i="13"/>
  <c r="D110" i="13"/>
  <c r="D107" i="13"/>
  <c r="D104" i="13"/>
  <c r="D101" i="13"/>
  <c r="D99" i="13"/>
  <c r="D96" i="13"/>
  <c r="D93" i="13"/>
  <c r="D90" i="13"/>
  <c r="D87" i="13"/>
  <c r="D82" i="13"/>
  <c r="D79" i="13"/>
  <c r="D76" i="13"/>
  <c r="D73" i="13"/>
  <c r="D71" i="13"/>
  <c r="D68" i="13"/>
  <c r="D65" i="13"/>
  <c r="D62" i="13"/>
  <c r="D60" i="13"/>
  <c r="D57" i="13"/>
  <c r="D54" i="13"/>
  <c r="D51" i="13"/>
  <c r="D21" i="13"/>
  <c r="D48" i="13"/>
  <c r="D45" i="13"/>
  <c r="D42" i="13"/>
  <c r="D39" i="13"/>
  <c r="D36" i="13"/>
  <c r="D34" i="13"/>
  <c r="E306" i="13"/>
  <c r="E307" i="13"/>
  <c r="E308" i="13"/>
  <c r="E309" i="13"/>
  <c r="E310" i="13"/>
  <c r="E311" i="13"/>
  <c r="E305" i="13"/>
  <c r="E294" i="13"/>
  <c r="E293" i="13"/>
  <c r="F88" i="7" l="1"/>
  <c r="B4" i="13"/>
  <c r="AB15" i="13" l="1"/>
  <c r="AB149" i="13"/>
  <c r="AB152" i="13"/>
  <c r="AB155" i="13"/>
  <c r="AB158" i="13"/>
  <c r="AB161" i="13"/>
  <c r="AB165" i="13"/>
  <c r="AB167" i="13"/>
  <c r="AB169" i="13"/>
  <c r="AB171" i="13"/>
  <c r="AB173" i="13"/>
  <c r="AB175" i="13"/>
  <c r="AB177" i="13"/>
  <c r="AB180" i="13"/>
  <c r="AB183" i="13"/>
  <c r="AB186" i="13"/>
  <c r="AB189" i="13"/>
  <c r="AB192" i="13"/>
  <c r="AB195" i="13"/>
  <c r="AB198" i="13"/>
  <c r="AB201" i="13"/>
  <c r="AB204" i="13"/>
  <c r="AB207" i="13"/>
  <c r="AB216" i="13"/>
  <c r="X15" i="13"/>
  <c r="X149" i="13"/>
  <c r="X152" i="13"/>
  <c r="X155" i="13"/>
  <c r="X158" i="13"/>
  <c r="X161" i="13"/>
  <c r="X165" i="13"/>
  <c r="X167" i="13"/>
  <c r="X169" i="13"/>
  <c r="X171" i="13"/>
  <c r="X173" i="13"/>
  <c r="X175" i="13"/>
  <c r="X177" i="13"/>
  <c r="X180" i="13"/>
  <c r="X183" i="13"/>
  <c r="X186" i="13"/>
  <c r="X189" i="13"/>
  <c r="X192" i="13"/>
  <c r="X195" i="13"/>
  <c r="X198" i="13"/>
  <c r="X201" i="13"/>
  <c r="X204" i="13"/>
  <c r="X207" i="13"/>
  <c r="X216" i="13"/>
  <c r="T15" i="13"/>
  <c r="T149" i="13"/>
  <c r="T152" i="13"/>
  <c r="T155" i="13"/>
  <c r="T158" i="13"/>
  <c r="T161" i="13"/>
  <c r="T165" i="13"/>
  <c r="T167" i="13"/>
  <c r="T169" i="13"/>
  <c r="T171" i="13"/>
  <c r="T173" i="13"/>
  <c r="T175" i="13"/>
  <c r="T177" i="13"/>
  <c r="T180" i="13"/>
  <c r="T183" i="13"/>
  <c r="T186" i="13"/>
  <c r="T189" i="13"/>
  <c r="T192" i="13"/>
  <c r="T195" i="13"/>
  <c r="T198" i="13"/>
  <c r="T201" i="13"/>
  <c r="T204" i="13"/>
  <c r="T207" i="13"/>
  <c r="T216" i="13"/>
  <c r="P15" i="13"/>
  <c r="P149" i="13"/>
  <c r="P152" i="13"/>
  <c r="P155" i="13"/>
  <c r="P158" i="13"/>
  <c r="P161" i="13"/>
  <c r="P165" i="13"/>
  <c r="P167" i="13"/>
  <c r="P169" i="13"/>
  <c r="P171" i="13"/>
  <c r="P173" i="13"/>
  <c r="P175" i="13"/>
  <c r="P177" i="13"/>
  <c r="P180" i="13"/>
  <c r="P183" i="13"/>
  <c r="P186" i="13"/>
  <c r="P189" i="13"/>
  <c r="P192" i="13"/>
  <c r="P195" i="13"/>
  <c r="P198" i="13"/>
  <c r="P201" i="13"/>
  <c r="P204" i="13"/>
  <c r="P207" i="13"/>
  <c r="P216" i="13"/>
  <c r="L207" i="13"/>
  <c r="L204" i="13"/>
  <c r="L201" i="13"/>
  <c r="L198" i="13"/>
  <c r="L195" i="13"/>
  <c r="L192" i="13"/>
  <c r="L189" i="13"/>
  <c r="L186" i="13"/>
  <c r="L183" i="13"/>
  <c r="L180" i="13"/>
  <c r="L177" i="13"/>
  <c r="L175" i="13"/>
  <c r="L173" i="13"/>
  <c r="L171" i="13"/>
  <c r="L169" i="13"/>
  <c r="L167" i="13"/>
  <c r="L165" i="13"/>
  <c r="L161" i="13"/>
  <c r="E257" i="13"/>
  <c r="E256" i="13"/>
  <c r="E255" i="13"/>
  <c r="E254" i="13"/>
  <c r="C76" i="7"/>
  <c r="E249" i="13" s="1"/>
  <c r="C75" i="7"/>
  <c r="E248" i="13" s="1"/>
  <c r="C74" i="7"/>
  <c r="E247" i="13" s="1"/>
  <c r="C73" i="7"/>
  <c r="E246" i="13" s="1"/>
  <c r="D83" i="7"/>
  <c r="D84" i="7"/>
  <c r="D85" i="7"/>
  <c r="D86" i="7"/>
  <c r="F311" i="13" l="1"/>
  <c r="Q24" i="7"/>
  <c r="Q62" i="7"/>
  <c r="AA163" i="13" s="1"/>
  <c r="Q56" i="7"/>
  <c r="AA133" i="13" s="1"/>
  <c r="F310" i="13"/>
  <c r="P62" i="7"/>
  <c r="W163" i="13" s="1"/>
  <c r="P56" i="7"/>
  <c r="W133" i="13" s="1"/>
  <c r="P24" i="7"/>
  <c r="O24" i="7"/>
  <c r="O62" i="7"/>
  <c r="S163" i="13" s="1"/>
  <c r="O56" i="7"/>
  <c r="S133" i="13" s="1"/>
  <c r="N24" i="7"/>
  <c r="N62" i="7"/>
  <c r="O163" i="13" s="1"/>
  <c r="N56" i="7"/>
  <c r="O133" i="13" s="1"/>
  <c r="E74" i="7"/>
  <c r="E299" i="13" s="1"/>
  <c r="E75" i="7"/>
  <c r="F85" i="7" s="1"/>
  <c r="H85" i="7" s="1"/>
  <c r="E73" i="7"/>
  <c r="E298" i="13" s="1"/>
  <c r="E76" i="7"/>
  <c r="E301" i="13" s="1"/>
  <c r="P25" i="7"/>
  <c r="W204" i="13"/>
  <c r="P50" i="7"/>
  <c r="P37" i="7"/>
  <c r="W82" i="13" s="1"/>
  <c r="W192" i="13"/>
  <c r="P48" i="7"/>
  <c r="P34" i="7"/>
  <c r="P21" i="7"/>
  <c r="P57" i="7"/>
  <c r="P45" i="7"/>
  <c r="W104" i="13" s="1"/>
  <c r="P31" i="7"/>
  <c r="P18" i="7"/>
  <c r="W171" i="13"/>
  <c r="P29" i="7"/>
  <c r="W60" i="13" s="1"/>
  <c r="P14" i="7"/>
  <c r="P61" i="7"/>
  <c r="W147" i="13" s="1"/>
  <c r="W189" i="13"/>
  <c r="W177" i="13"/>
  <c r="P52" i="7"/>
  <c r="W124" i="13" s="1"/>
  <c r="W152" i="13"/>
  <c r="P44" i="7"/>
  <c r="P41" i="7"/>
  <c r="P33" i="7"/>
  <c r="W71" i="13" s="1"/>
  <c r="P28" i="7"/>
  <c r="P17" i="7"/>
  <c r="W34" i="13" s="1"/>
  <c r="P13" i="7"/>
  <c r="W23" i="13" s="1"/>
  <c r="P10" i="7"/>
  <c r="P60" i="7"/>
  <c r="P58" i="7"/>
  <c r="P55" i="7"/>
  <c r="W131" i="13" s="1"/>
  <c r="P51" i="7"/>
  <c r="W161" i="13"/>
  <c r="P47" i="7"/>
  <c r="W110" i="13" s="1"/>
  <c r="P43" i="7"/>
  <c r="W99" i="13" s="1"/>
  <c r="P40" i="7"/>
  <c r="P36" i="7"/>
  <c r="P32" i="7"/>
  <c r="P27" i="7"/>
  <c r="P23" i="7"/>
  <c r="W222" i="13" s="1"/>
  <c r="P20" i="7"/>
  <c r="P16" i="7"/>
  <c r="P12" i="7"/>
  <c r="W216" i="13" s="1"/>
  <c r="F248" i="13" s="1"/>
  <c r="H248" i="13" s="1"/>
  <c r="O17" i="7"/>
  <c r="S34" i="13" s="1"/>
  <c r="F309" i="13"/>
  <c r="W208" i="13"/>
  <c r="P59" i="7"/>
  <c r="W184" i="13"/>
  <c r="P54" i="7"/>
  <c r="W165" i="13"/>
  <c r="P49" i="7"/>
  <c r="P46" i="7"/>
  <c r="P42" i="7"/>
  <c r="P39" i="7"/>
  <c r="P35" i="7"/>
  <c r="O32" i="7"/>
  <c r="S68" i="13" s="1"/>
  <c r="P30" i="7"/>
  <c r="P26" i="7"/>
  <c r="P22" i="7"/>
  <c r="P19" i="7"/>
  <c r="P15" i="7"/>
  <c r="P11" i="7"/>
  <c r="W21" i="13" s="1"/>
  <c r="Q41" i="7"/>
  <c r="AA189" i="13"/>
  <c r="Q33" i="7"/>
  <c r="AA71" i="13" s="1"/>
  <c r="Q44" i="7"/>
  <c r="Q52" i="7"/>
  <c r="AA124" i="13" s="1"/>
  <c r="Q61" i="7"/>
  <c r="AA147" i="13" s="1"/>
  <c r="AA152" i="13"/>
  <c r="AA177" i="13"/>
  <c r="Q20" i="7"/>
  <c r="Q28" i="7"/>
  <c r="Q17" i="7"/>
  <c r="AA34" i="13" s="1"/>
  <c r="Q13" i="7"/>
  <c r="AA23" i="13" s="1"/>
  <c r="Q27" i="7"/>
  <c r="Q60" i="7"/>
  <c r="Q58" i="7"/>
  <c r="Q55" i="7"/>
  <c r="AA131" i="13" s="1"/>
  <c r="Q51" i="7"/>
  <c r="AA161" i="13"/>
  <c r="Q47" i="7"/>
  <c r="AA110" i="13" s="1"/>
  <c r="Q43" i="7"/>
  <c r="AA99" i="13" s="1"/>
  <c r="Q40" i="7"/>
  <c r="Q36" i="7"/>
  <c r="Q32" i="7"/>
  <c r="Q23" i="7"/>
  <c r="AA222" i="13" s="1"/>
  <c r="Q10" i="7"/>
  <c r="Q30" i="7"/>
  <c r="Q26" i="7"/>
  <c r="Q22" i="7"/>
  <c r="Q19" i="7"/>
  <c r="Q15" i="7"/>
  <c r="Q11" i="7"/>
  <c r="AA21" i="13" s="1"/>
  <c r="Q12" i="7"/>
  <c r="AA216" i="13" s="1"/>
  <c r="F249" i="13" s="1"/>
  <c r="H249" i="13" s="1"/>
  <c r="AA208" i="13"/>
  <c r="Q59" i="7"/>
  <c r="AA184" i="13"/>
  <c r="Q54" i="7"/>
  <c r="AA165" i="13"/>
  <c r="Q49" i="7"/>
  <c r="Q46" i="7"/>
  <c r="Q42" i="7"/>
  <c r="Q39" i="7"/>
  <c r="Q35" i="7"/>
  <c r="Q31" i="7"/>
  <c r="Q29" i="7"/>
  <c r="AA60" i="13" s="1"/>
  <c r="Q25" i="7"/>
  <c r="Q21" i="7"/>
  <c r="Q18" i="7"/>
  <c r="Q14" i="7"/>
  <c r="Q16" i="7"/>
  <c r="AA204" i="13"/>
  <c r="AA192" i="13"/>
  <c r="Q57" i="7"/>
  <c r="AA171" i="13"/>
  <c r="Q50" i="7"/>
  <c r="Q48" i="7"/>
  <c r="Q45" i="7"/>
  <c r="Q37" i="7"/>
  <c r="Q34" i="7"/>
  <c r="N13" i="7"/>
  <c r="O23" i="13" s="1"/>
  <c r="F308" i="13"/>
  <c r="O26" i="7"/>
  <c r="O19" i="7"/>
  <c r="O11" i="7"/>
  <c r="S21" i="13" s="1"/>
  <c r="O58" i="7"/>
  <c r="O51" i="7"/>
  <c r="O47" i="7"/>
  <c r="O40" i="7"/>
  <c r="N11" i="7"/>
  <c r="O21" i="13" s="1"/>
  <c r="O204" i="13"/>
  <c r="N37" i="7"/>
  <c r="N58" i="7"/>
  <c r="N32" i="7"/>
  <c r="O68" i="13" s="1"/>
  <c r="N57" i="7"/>
  <c r="N51" i="7"/>
  <c r="N26" i="7"/>
  <c r="N50" i="7"/>
  <c r="N40" i="7"/>
  <c r="N47" i="7"/>
  <c r="N19" i="7"/>
  <c r="N10" i="7"/>
  <c r="N45" i="7"/>
  <c r="N17" i="7"/>
  <c r="O34" i="13" s="1"/>
  <c r="O59" i="7"/>
  <c r="O54" i="7"/>
  <c r="O49" i="7"/>
  <c r="O42" i="7"/>
  <c r="O35" i="7"/>
  <c r="O29" i="7"/>
  <c r="S60" i="13" s="1"/>
  <c r="O21" i="7"/>
  <c r="O14" i="7"/>
  <c r="O61" i="7"/>
  <c r="S147" i="13" s="1"/>
  <c r="O44" i="7"/>
  <c r="O23" i="7"/>
  <c r="S222" i="13" s="1"/>
  <c r="O16" i="7"/>
  <c r="S171" i="13"/>
  <c r="O48" i="7"/>
  <c r="O34" i="7"/>
  <c r="O28" i="7"/>
  <c r="O13" i="7"/>
  <c r="S23" i="13" s="1"/>
  <c r="S165" i="13"/>
  <c r="O46" i="7"/>
  <c r="O39" i="7"/>
  <c r="O31" i="7"/>
  <c r="O25" i="7"/>
  <c r="O18" i="7"/>
  <c r="O60" i="7"/>
  <c r="O55" i="7"/>
  <c r="S161" i="13"/>
  <c r="O43" i="7"/>
  <c r="S99" i="13" s="1"/>
  <c r="O36" i="7"/>
  <c r="O30" i="7"/>
  <c r="O22" i="7"/>
  <c r="O15" i="7"/>
  <c r="O52" i="7"/>
  <c r="O41" i="7"/>
  <c r="O33" i="7"/>
  <c r="S71" i="13" s="1"/>
  <c r="O27" i="7"/>
  <c r="O20" i="7"/>
  <c r="O12" i="7"/>
  <c r="S216" i="13" s="1"/>
  <c r="F247" i="13" s="1"/>
  <c r="H247" i="13" s="1"/>
  <c r="O10" i="7"/>
  <c r="O57" i="7"/>
  <c r="O50" i="7"/>
  <c r="O45" i="7"/>
  <c r="O37" i="7"/>
  <c r="N52" i="7"/>
  <c r="N41" i="7"/>
  <c r="N33" i="7"/>
  <c r="O71" i="13" s="1"/>
  <c r="N27" i="7"/>
  <c r="N20" i="7"/>
  <c r="N12" i="7"/>
  <c r="O216" i="13" s="1"/>
  <c r="F246" i="13" s="1"/>
  <c r="H246" i="13" s="1"/>
  <c r="O165" i="13"/>
  <c r="N46" i="7"/>
  <c r="N39" i="7"/>
  <c r="N31" i="7"/>
  <c r="N25" i="7"/>
  <c r="N18" i="7"/>
  <c r="N61" i="7"/>
  <c r="O147" i="13" s="1"/>
  <c r="N44" i="7"/>
  <c r="N23" i="7"/>
  <c r="O222" i="13" s="1"/>
  <c r="N16" i="7"/>
  <c r="N60" i="7"/>
  <c r="N55" i="7"/>
  <c r="O161" i="13"/>
  <c r="N43" i="7"/>
  <c r="O99" i="13" s="1"/>
  <c r="N36" i="7"/>
  <c r="N30" i="7"/>
  <c r="N22" i="7"/>
  <c r="N15" i="7"/>
  <c r="N59" i="7"/>
  <c r="N54" i="7"/>
  <c r="N49" i="7"/>
  <c r="N42" i="7"/>
  <c r="O96" i="13" s="1"/>
  <c r="N35" i="7"/>
  <c r="N29" i="7"/>
  <c r="O60" i="13" s="1"/>
  <c r="N21" i="7"/>
  <c r="N14" i="7"/>
  <c r="O171" i="13"/>
  <c r="N48" i="7"/>
  <c r="N34" i="7"/>
  <c r="N28" i="7"/>
  <c r="O63" i="7" l="1"/>
  <c r="Q63" i="7"/>
  <c r="P63" i="7"/>
  <c r="N63" i="7"/>
  <c r="W224" i="13"/>
  <c r="W223" i="13"/>
  <c r="O223" i="13"/>
  <c r="O224" i="13"/>
  <c r="AA224" i="13"/>
  <c r="AA223" i="13"/>
  <c r="S223" i="13"/>
  <c r="S224" i="13"/>
  <c r="W225" i="13"/>
  <c r="W226" i="13"/>
  <c r="AA83" i="13"/>
  <c r="AA82" i="13"/>
  <c r="AA39" i="13"/>
  <c r="AA40" i="13"/>
  <c r="AA91" i="13"/>
  <c r="AA90" i="13"/>
  <c r="AA55" i="13"/>
  <c r="AA54" i="13"/>
  <c r="W90" i="13"/>
  <c r="W91" i="13"/>
  <c r="W18" i="13"/>
  <c r="W19" i="13"/>
  <c r="W46" i="13"/>
  <c r="W45" i="13"/>
  <c r="W83" i="13"/>
  <c r="AA136" i="13"/>
  <c r="AA135" i="13"/>
  <c r="AA96" i="13"/>
  <c r="AA97" i="13"/>
  <c r="AA128" i="13"/>
  <c r="AA129" i="13"/>
  <c r="AA49" i="13"/>
  <c r="AA48" i="13"/>
  <c r="AA101" i="13"/>
  <c r="AA102" i="13"/>
  <c r="W48" i="13"/>
  <c r="W49" i="13"/>
  <c r="W77" i="13"/>
  <c r="W76" i="13"/>
  <c r="W115" i="13"/>
  <c r="W116" i="13"/>
  <c r="W142" i="13"/>
  <c r="W141" i="13"/>
  <c r="W54" i="13"/>
  <c r="W55" i="13"/>
  <c r="AA113" i="13"/>
  <c r="AA112" i="13"/>
  <c r="AA37" i="13"/>
  <c r="AA36" i="13"/>
  <c r="AA65" i="13"/>
  <c r="AA66" i="13"/>
  <c r="AA107" i="13"/>
  <c r="AA108" i="13"/>
  <c r="AA52" i="13"/>
  <c r="AA51" i="13"/>
  <c r="AA68" i="13"/>
  <c r="AA69" i="13"/>
  <c r="AA139" i="13"/>
  <c r="AA138" i="13"/>
  <c r="W52" i="13"/>
  <c r="W51" i="13"/>
  <c r="W88" i="13"/>
  <c r="W87" i="13"/>
  <c r="W31" i="13"/>
  <c r="W32" i="13"/>
  <c r="W68" i="13"/>
  <c r="W69" i="13"/>
  <c r="W138" i="13"/>
  <c r="W139" i="13"/>
  <c r="W101" i="13"/>
  <c r="W102" i="13"/>
  <c r="W105" i="13"/>
  <c r="W113" i="13"/>
  <c r="W112" i="13"/>
  <c r="S82" i="13"/>
  <c r="S83" i="13"/>
  <c r="S49" i="13"/>
  <c r="S48" i="13"/>
  <c r="AA31" i="13"/>
  <c r="AA32" i="13"/>
  <c r="AA88" i="13"/>
  <c r="AA87" i="13"/>
  <c r="AA18" i="13"/>
  <c r="AA19" i="13"/>
  <c r="AA121" i="13"/>
  <c r="AA122" i="13"/>
  <c r="AA43" i="13"/>
  <c r="AA42" i="13"/>
  <c r="W39" i="13"/>
  <c r="W40" i="13"/>
  <c r="W107" i="13"/>
  <c r="W108" i="13"/>
  <c r="W121" i="13"/>
  <c r="W122" i="13"/>
  <c r="W37" i="13"/>
  <c r="W36" i="13"/>
  <c r="AA105" i="13"/>
  <c r="AA104" i="13"/>
  <c r="AA25" i="13"/>
  <c r="AA26" i="13"/>
  <c r="AA94" i="13"/>
  <c r="AA93" i="13"/>
  <c r="W94" i="13"/>
  <c r="W93" i="13"/>
  <c r="W25" i="13"/>
  <c r="W26" i="13"/>
  <c r="W65" i="13"/>
  <c r="W66" i="13"/>
  <c r="W73" i="13"/>
  <c r="W74" i="13"/>
  <c r="W119" i="13"/>
  <c r="W118" i="13"/>
  <c r="AA73" i="13"/>
  <c r="AA74" i="13"/>
  <c r="AA119" i="13"/>
  <c r="AA118" i="13"/>
  <c r="AA46" i="13"/>
  <c r="AA45" i="13"/>
  <c r="AA77" i="13"/>
  <c r="AA76" i="13"/>
  <c r="AA116" i="13"/>
  <c r="AA115" i="13"/>
  <c r="AA142" i="13"/>
  <c r="AA141" i="13"/>
  <c r="AA29" i="13"/>
  <c r="AA28" i="13"/>
  <c r="AA63" i="13"/>
  <c r="AA62" i="13"/>
  <c r="AA79" i="13"/>
  <c r="AA80" i="13"/>
  <c r="AA144" i="13"/>
  <c r="AA145" i="13"/>
  <c r="AA58" i="13"/>
  <c r="AA57" i="13"/>
  <c r="W29" i="13"/>
  <c r="W28" i="13"/>
  <c r="W63" i="13"/>
  <c r="W62" i="13"/>
  <c r="W97" i="13"/>
  <c r="W96" i="13"/>
  <c r="W128" i="13"/>
  <c r="W129" i="13"/>
  <c r="W43" i="13"/>
  <c r="W42" i="13"/>
  <c r="W79" i="13"/>
  <c r="W80" i="13"/>
  <c r="W145" i="13"/>
  <c r="W144" i="13"/>
  <c r="W58" i="13"/>
  <c r="W57" i="13"/>
  <c r="W136" i="13"/>
  <c r="W135" i="13"/>
  <c r="O48" i="13"/>
  <c r="O49" i="13"/>
  <c r="O82" i="13"/>
  <c r="O83" i="13"/>
  <c r="O77" i="13"/>
  <c r="O76" i="13"/>
  <c r="O142" i="13"/>
  <c r="O141" i="13"/>
  <c r="O145" i="13"/>
  <c r="O144" i="13"/>
  <c r="O58" i="13"/>
  <c r="O57" i="13"/>
  <c r="O31" i="13"/>
  <c r="O32" i="13"/>
  <c r="O74" i="13"/>
  <c r="O73" i="13"/>
  <c r="O46" i="13"/>
  <c r="O45" i="13"/>
  <c r="O116" i="13"/>
  <c r="O115" i="13"/>
  <c r="O37" i="13"/>
  <c r="O36" i="13"/>
  <c r="O108" i="13"/>
  <c r="O107" i="13"/>
  <c r="O55" i="13"/>
  <c r="O54" i="13"/>
  <c r="S19" i="13"/>
  <c r="S18" i="13"/>
  <c r="S226" i="13"/>
  <c r="S225" i="13"/>
  <c r="S113" i="13"/>
  <c r="S112" i="13"/>
  <c r="S101" i="13"/>
  <c r="S102" i="13"/>
  <c r="S45" i="13"/>
  <c r="S46" i="13"/>
  <c r="S115" i="13"/>
  <c r="S116" i="13"/>
  <c r="O105" i="13"/>
  <c r="O104" i="13"/>
  <c r="O91" i="13"/>
  <c r="O90" i="13"/>
  <c r="O180" i="13"/>
  <c r="O136" i="13"/>
  <c r="O135" i="13"/>
  <c r="S167" i="13"/>
  <c r="S121" i="13"/>
  <c r="S122" i="13"/>
  <c r="S51" i="13"/>
  <c r="S52" i="13"/>
  <c r="AA225" i="13"/>
  <c r="G257" i="13" s="1"/>
  <c r="AA226" i="13"/>
  <c r="AA16" i="13"/>
  <c r="AA167" i="13"/>
  <c r="S69" i="13"/>
  <c r="W15" i="13"/>
  <c r="O173" i="13"/>
  <c r="O129" i="13"/>
  <c r="O128" i="13"/>
  <c r="O63" i="13"/>
  <c r="O62" i="13"/>
  <c r="O102" i="13"/>
  <c r="O101" i="13"/>
  <c r="O226" i="13"/>
  <c r="O225" i="13"/>
  <c r="S105" i="13"/>
  <c r="S104" i="13"/>
  <c r="S93" i="13"/>
  <c r="S94" i="13"/>
  <c r="S63" i="13"/>
  <c r="S62" i="13"/>
  <c r="S65" i="13"/>
  <c r="S66" i="13"/>
  <c r="S173" i="13"/>
  <c r="S129" i="13"/>
  <c r="S128" i="13"/>
  <c r="O16" i="13"/>
  <c r="O19" i="13"/>
  <c r="O18" i="13"/>
  <c r="O119" i="13"/>
  <c r="O118" i="13"/>
  <c r="O69" i="13"/>
  <c r="S186" i="13"/>
  <c r="S139" i="13"/>
  <c r="S138" i="13"/>
  <c r="AA180" i="13"/>
  <c r="AA173" i="13"/>
  <c r="O113" i="13"/>
  <c r="O112" i="13"/>
  <c r="O80" i="13"/>
  <c r="O79" i="13"/>
  <c r="O66" i="13"/>
  <c r="O65" i="13"/>
  <c r="O94" i="13"/>
  <c r="O93" i="13"/>
  <c r="S119" i="13"/>
  <c r="S118" i="13"/>
  <c r="S43" i="13"/>
  <c r="S42" i="13"/>
  <c r="S79" i="13"/>
  <c r="S80" i="13"/>
  <c r="S145" i="13"/>
  <c r="S144" i="13"/>
  <c r="S87" i="13"/>
  <c r="S88" i="13"/>
  <c r="S57" i="13"/>
  <c r="S58" i="13"/>
  <c r="S32" i="13"/>
  <c r="S31" i="13"/>
  <c r="S77" i="13"/>
  <c r="S76" i="13"/>
  <c r="S141" i="13"/>
  <c r="S142" i="13"/>
  <c r="O40" i="13"/>
  <c r="O39" i="13"/>
  <c r="O52" i="13"/>
  <c r="O51" i="13"/>
  <c r="O186" i="13"/>
  <c r="O139" i="13"/>
  <c r="O138" i="13"/>
  <c r="S91" i="13"/>
  <c r="S90" i="13"/>
  <c r="AA155" i="13"/>
  <c r="AA186" i="13"/>
  <c r="W186" i="13"/>
  <c r="W155" i="13"/>
  <c r="O25" i="13"/>
  <c r="O26" i="13"/>
  <c r="O97" i="13"/>
  <c r="O88" i="13"/>
  <c r="O87" i="13"/>
  <c r="O43" i="13"/>
  <c r="O42" i="13"/>
  <c r="S135" i="13"/>
  <c r="S136" i="13"/>
  <c r="S55" i="13"/>
  <c r="S54" i="13"/>
  <c r="S37" i="13"/>
  <c r="S36" i="13"/>
  <c r="S107" i="13"/>
  <c r="S108" i="13"/>
  <c r="S73" i="13"/>
  <c r="S74" i="13"/>
  <c r="S26" i="13"/>
  <c r="S25" i="13"/>
  <c r="S97" i="13"/>
  <c r="S96" i="13"/>
  <c r="O167" i="13"/>
  <c r="O122" i="13"/>
  <c r="O121" i="13"/>
  <c r="S39" i="13"/>
  <c r="S40" i="13"/>
  <c r="AA158" i="13"/>
  <c r="AA196" i="13"/>
  <c r="AA198" i="13"/>
  <c r="W198" i="13"/>
  <c r="W180" i="13"/>
  <c r="E239" i="13"/>
  <c r="AA201" i="13"/>
  <c r="O175" i="13"/>
  <c r="O131" i="13"/>
  <c r="S175" i="13"/>
  <c r="S131" i="13"/>
  <c r="AA175" i="13"/>
  <c r="AA169" i="13"/>
  <c r="S169" i="13"/>
  <c r="S124" i="13"/>
  <c r="O169" i="13"/>
  <c r="O124" i="13"/>
  <c r="AA149" i="13"/>
  <c r="O150" i="13"/>
  <c r="O110" i="13"/>
  <c r="S149" i="13"/>
  <c r="S110" i="13"/>
  <c r="F84" i="7"/>
  <c r="H84" i="7" s="1"/>
  <c r="O29" i="13"/>
  <c r="O28" i="13"/>
  <c r="S29" i="13"/>
  <c r="S28" i="13"/>
  <c r="W169" i="13"/>
  <c r="W173" i="13"/>
  <c r="W149" i="13"/>
  <c r="W158" i="13"/>
  <c r="W196" i="13"/>
  <c r="W167" i="13"/>
  <c r="W201" i="13"/>
  <c r="W175" i="13"/>
  <c r="AA187" i="13"/>
  <c r="W193" i="13"/>
  <c r="W205" i="13"/>
  <c r="W190" i="13"/>
  <c r="AA156" i="13"/>
  <c r="AA183" i="13"/>
  <c r="AA195" i="13"/>
  <c r="AA205" i="13"/>
  <c r="W199" i="13"/>
  <c r="E240" i="13"/>
  <c r="E300" i="13"/>
  <c r="F83" i="7"/>
  <c r="H83" i="7" s="1"/>
  <c r="E238" i="13"/>
  <c r="E241" i="13"/>
  <c r="F86" i="7"/>
  <c r="H86" i="7" s="1"/>
  <c r="AA150" i="13"/>
  <c r="AA193" i="13"/>
  <c r="W16" i="13"/>
  <c r="AA153" i="13"/>
  <c r="W153" i="13"/>
  <c r="W156" i="13"/>
  <c r="W183" i="13"/>
  <c r="W195" i="13"/>
  <c r="S187" i="13"/>
  <c r="W159" i="13"/>
  <c r="W202" i="13"/>
  <c r="W181" i="13"/>
  <c r="AA159" i="13"/>
  <c r="AA199" i="13"/>
  <c r="AA207" i="13"/>
  <c r="AA15" i="13"/>
  <c r="W207" i="13"/>
  <c r="O181" i="13"/>
  <c r="AA178" i="13"/>
  <c r="O205" i="13"/>
  <c r="W187" i="13"/>
  <c r="O15" i="13"/>
  <c r="W150" i="13"/>
  <c r="W178" i="13"/>
  <c r="AA190" i="13"/>
  <c r="AA202" i="13"/>
  <c r="AA181" i="13"/>
  <c r="O149" i="13"/>
  <c r="O187" i="13"/>
  <c r="S150" i="13"/>
  <c r="S189" i="13"/>
  <c r="S190" i="13"/>
  <c r="S198" i="13"/>
  <c r="S199" i="13"/>
  <c r="S156" i="13"/>
  <c r="S155" i="13"/>
  <c r="S183" i="13"/>
  <c r="S184" i="13"/>
  <c r="S177" i="13"/>
  <c r="S178" i="13"/>
  <c r="S159" i="13"/>
  <c r="S158" i="13"/>
  <c r="S204" i="13"/>
  <c r="S205" i="13"/>
  <c r="S152" i="13"/>
  <c r="S153" i="13"/>
  <c r="S207" i="13"/>
  <c r="S208" i="13"/>
  <c r="S192" i="13"/>
  <c r="S193" i="13"/>
  <c r="S201" i="13"/>
  <c r="S202" i="13"/>
  <c r="S180" i="13"/>
  <c r="S181" i="13"/>
  <c r="S15" i="13"/>
  <c r="S16" i="13"/>
  <c r="S195" i="13"/>
  <c r="S196" i="13"/>
  <c r="O198" i="13"/>
  <c r="O199" i="13"/>
  <c r="O152" i="13"/>
  <c r="O153" i="13"/>
  <c r="O208" i="13"/>
  <c r="O207" i="13"/>
  <c r="O195" i="13"/>
  <c r="O196" i="13"/>
  <c r="O177" i="13"/>
  <c r="O178" i="13"/>
  <c r="O189" i="13"/>
  <c r="O190" i="13"/>
  <c r="O156" i="13"/>
  <c r="O155" i="13"/>
  <c r="O201" i="13"/>
  <c r="O202" i="13"/>
  <c r="O192" i="13"/>
  <c r="O193" i="13"/>
  <c r="O159" i="13"/>
  <c r="O158" i="13"/>
  <c r="O183" i="13"/>
  <c r="O184" i="13"/>
  <c r="D81" i="7"/>
  <c r="D82" i="7"/>
  <c r="D80" i="7"/>
  <c r="G240" i="13" l="1"/>
  <c r="G239" i="13"/>
  <c r="H241" i="13"/>
  <c r="G241" i="13"/>
  <c r="H239" i="13"/>
  <c r="G238" i="13"/>
  <c r="H238" i="13"/>
  <c r="H240" i="13"/>
  <c r="H254" i="13"/>
  <c r="G255" i="13"/>
  <c r="H255" i="13"/>
  <c r="H256" i="13"/>
  <c r="G256" i="13"/>
  <c r="G254" i="13"/>
  <c r="H257" i="13"/>
  <c r="F307" i="13"/>
  <c r="M24" i="7"/>
  <c r="M62" i="7"/>
  <c r="K163" i="13" s="1"/>
  <c r="M56" i="7"/>
  <c r="K133" i="13" s="1"/>
  <c r="F306" i="13"/>
  <c r="L62" i="7"/>
  <c r="G163" i="13" s="1"/>
  <c r="L56" i="7"/>
  <c r="G133" i="13" s="1"/>
  <c r="L24" i="7"/>
  <c r="F305" i="13"/>
  <c r="K62" i="7"/>
  <c r="C163" i="13" s="1"/>
  <c r="K56" i="7"/>
  <c r="C133" i="13" s="1"/>
  <c r="K24" i="7"/>
  <c r="C223" i="13" s="1"/>
  <c r="C72" i="7"/>
  <c r="C71" i="7"/>
  <c r="C70" i="7"/>
  <c r="F254" i="13" l="1"/>
  <c r="F255" i="13"/>
  <c r="F256" i="13"/>
  <c r="AC133" i="13"/>
  <c r="G224" i="13"/>
  <c r="G223" i="13"/>
  <c r="R56" i="7"/>
  <c r="R62" i="7"/>
  <c r="K223" i="13"/>
  <c r="K224" i="13"/>
  <c r="R24" i="7"/>
  <c r="C224" i="13"/>
  <c r="F257" i="13"/>
  <c r="F241" i="13"/>
  <c r="C77" i="7"/>
  <c r="B77" i="7"/>
  <c r="D77" i="7"/>
  <c r="F239" i="13"/>
  <c r="D175" i="13"/>
  <c r="D173" i="13"/>
  <c r="L158" i="13"/>
  <c r="L155" i="13"/>
  <c r="L152" i="13"/>
  <c r="L149" i="13"/>
  <c r="L15" i="13"/>
  <c r="H207" i="13"/>
  <c r="H204" i="13"/>
  <c r="H201" i="13"/>
  <c r="H198" i="13"/>
  <c r="H195" i="13"/>
  <c r="H192" i="13"/>
  <c r="H189" i="13"/>
  <c r="H186" i="13"/>
  <c r="H183" i="13"/>
  <c r="H180" i="13"/>
  <c r="H177" i="13"/>
  <c r="H175" i="13"/>
  <c r="H173" i="13"/>
  <c r="H171" i="13"/>
  <c r="H169" i="13"/>
  <c r="H167" i="13"/>
  <c r="H165" i="13"/>
  <c r="H161" i="13"/>
  <c r="H158" i="13"/>
  <c r="H155" i="13"/>
  <c r="H152" i="13"/>
  <c r="H149" i="13"/>
  <c r="H15" i="13"/>
  <c r="M54" i="7"/>
  <c r="M55" i="7"/>
  <c r="L54" i="7"/>
  <c r="L55" i="7"/>
  <c r="K54" i="7"/>
  <c r="K55" i="7"/>
  <c r="C131" i="13" s="1"/>
  <c r="K173" i="13" l="1"/>
  <c r="K128" i="13"/>
  <c r="K129" i="13"/>
  <c r="K175" i="13"/>
  <c r="K131" i="13"/>
  <c r="G175" i="13"/>
  <c r="G131" i="13"/>
  <c r="C128" i="13"/>
  <c r="C129" i="13"/>
  <c r="G173" i="13"/>
  <c r="G129" i="13"/>
  <c r="G128" i="13"/>
  <c r="C175" i="13"/>
  <c r="R55" i="7"/>
  <c r="C173" i="13"/>
  <c r="R54" i="7"/>
  <c r="AC131" i="13" l="1"/>
  <c r="AC175" i="13"/>
  <c r="AC173" i="13"/>
  <c r="L216" i="13" l="1"/>
  <c r="H216" i="13"/>
  <c r="D216" i="13"/>
  <c r="D207" i="13"/>
  <c r="D204" i="13"/>
  <c r="D201" i="13"/>
  <c r="D198" i="13"/>
  <c r="D195" i="13"/>
  <c r="D192" i="13"/>
  <c r="D189" i="13"/>
  <c r="D186" i="13"/>
  <c r="D183" i="13"/>
  <c r="D180" i="13"/>
  <c r="D177" i="13"/>
  <c r="D171" i="13"/>
  <c r="D169" i="13"/>
  <c r="D167" i="13"/>
  <c r="D165" i="13"/>
  <c r="D161" i="13"/>
  <c r="D158" i="13"/>
  <c r="D155" i="13"/>
  <c r="D152" i="13"/>
  <c r="D149" i="13"/>
  <c r="D31" i="13"/>
  <c r="D28" i="13"/>
  <c r="D25" i="13"/>
  <c r="D23" i="13"/>
  <c r="M42" i="7"/>
  <c r="M43" i="7"/>
  <c r="K99" i="13" s="1"/>
  <c r="M44" i="7"/>
  <c r="M45" i="7"/>
  <c r="M46" i="7"/>
  <c r="M47" i="7"/>
  <c r="K110" i="13" s="1"/>
  <c r="M48" i="7"/>
  <c r="M49" i="7"/>
  <c r="K161" i="13"/>
  <c r="M50" i="7"/>
  <c r="K165" i="13"/>
  <c r="M51" i="7"/>
  <c r="M52" i="7"/>
  <c r="K171" i="13"/>
  <c r="M57" i="7"/>
  <c r="M58" i="7"/>
  <c r="M59" i="7"/>
  <c r="M60" i="7"/>
  <c r="M61" i="7"/>
  <c r="K147" i="13" s="1"/>
  <c r="L42" i="7"/>
  <c r="L43" i="7"/>
  <c r="G99" i="13" s="1"/>
  <c r="L44" i="7"/>
  <c r="L45" i="7"/>
  <c r="L46" i="7"/>
  <c r="L47" i="7"/>
  <c r="G110" i="13" s="1"/>
  <c r="L48" i="7"/>
  <c r="L49" i="7"/>
  <c r="G161" i="13"/>
  <c r="L50" i="7"/>
  <c r="G165" i="13"/>
  <c r="L51" i="7"/>
  <c r="L52" i="7"/>
  <c r="G124" i="13" s="1"/>
  <c r="G171" i="13"/>
  <c r="L57" i="7"/>
  <c r="G184" i="13"/>
  <c r="L58" i="7"/>
  <c r="L59" i="7"/>
  <c r="L60" i="7"/>
  <c r="L61" i="7"/>
  <c r="G147" i="13" s="1"/>
  <c r="K42" i="7"/>
  <c r="K43" i="7"/>
  <c r="C99" i="13" s="1"/>
  <c r="K44" i="7"/>
  <c r="K45" i="7"/>
  <c r="K46" i="7"/>
  <c r="K47" i="7"/>
  <c r="C110" i="13" s="1"/>
  <c r="K48" i="7"/>
  <c r="K49" i="7"/>
  <c r="K50" i="7"/>
  <c r="K51" i="7"/>
  <c r="K52" i="7"/>
  <c r="C124" i="13" s="1"/>
  <c r="K57" i="7"/>
  <c r="K58" i="7"/>
  <c r="K59" i="7"/>
  <c r="K60" i="7"/>
  <c r="K61" i="7"/>
  <c r="C147" i="13" s="1"/>
  <c r="M10" i="7"/>
  <c r="L10" i="7"/>
  <c r="K10" i="7"/>
  <c r="AC99" i="13" l="1"/>
  <c r="K136" i="13"/>
  <c r="K135" i="13"/>
  <c r="K116" i="13"/>
  <c r="K115" i="13"/>
  <c r="K105" i="13"/>
  <c r="K104" i="13"/>
  <c r="K145" i="13"/>
  <c r="K144" i="13"/>
  <c r="K119" i="13"/>
  <c r="K118" i="13"/>
  <c r="K112" i="13"/>
  <c r="K113" i="13"/>
  <c r="K102" i="13"/>
  <c r="K101" i="13"/>
  <c r="K142" i="13"/>
  <c r="K141" i="13"/>
  <c r="K139" i="13"/>
  <c r="K138" i="13"/>
  <c r="K167" i="13"/>
  <c r="K122" i="13"/>
  <c r="K121" i="13"/>
  <c r="K108" i="13"/>
  <c r="K107" i="13"/>
  <c r="K96" i="13"/>
  <c r="K97" i="13"/>
  <c r="AC147" i="13"/>
  <c r="AC110" i="13"/>
  <c r="K169" i="13"/>
  <c r="K124" i="13"/>
  <c r="AC124" i="13" s="1"/>
  <c r="K18" i="13"/>
  <c r="K19" i="13"/>
  <c r="C118" i="13"/>
  <c r="C119" i="13"/>
  <c r="C96" i="13"/>
  <c r="C97" i="13"/>
  <c r="G108" i="13"/>
  <c r="G107" i="13"/>
  <c r="C19" i="13"/>
  <c r="C18" i="13"/>
  <c r="C144" i="13"/>
  <c r="C145" i="13"/>
  <c r="C112" i="13"/>
  <c r="C113" i="13"/>
  <c r="C102" i="13"/>
  <c r="C101" i="13"/>
  <c r="G145" i="13"/>
  <c r="G144" i="13"/>
  <c r="G136" i="13"/>
  <c r="G135" i="13"/>
  <c r="G112" i="13"/>
  <c r="G113" i="13"/>
  <c r="G102" i="13"/>
  <c r="G101" i="13"/>
  <c r="G19" i="13"/>
  <c r="G18" i="13"/>
  <c r="C142" i="13"/>
  <c r="C141" i="13"/>
  <c r="C122" i="13"/>
  <c r="C121" i="13"/>
  <c r="G142" i="13"/>
  <c r="G141" i="13"/>
  <c r="G119" i="13"/>
  <c r="G118" i="13"/>
  <c r="C138" i="13"/>
  <c r="C139" i="13"/>
  <c r="C108" i="13"/>
  <c r="C107" i="13"/>
  <c r="G139" i="13"/>
  <c r="G138" i="13"/>
  <c r="G97" i="13"/>
  <c r="G96" i="13"/>
  <c r="C136" i="13"/>
  <c r="C135" i="13"/>
  <c r="C116" i="13"/>
  <c r="C115" i="13"/>
  <c r="C104" i="13"/>
  <c r="C105" i="13"/>
  <c r="G167" i="13"/>
  <c r="G122" i="13"/>
  <c r="G121" i="13"/>
  <c r="G116" i="13"/>
  <c r="G115" i="13"/>
  <c r="G104" i="13"/>
  <c r="G105" i="13"/>
  <c r="R61" i="7"/>
  <c r="R49" i="7"/>
  <c r="R46" i="7"/>
  <c r="R42" i="7"/>
  <c r="R44" i="7"/>
  <c r="R59" i="7"/>
  <c r="R58" i="7"/>
  <c r="R50" i="7"/>
  <c r="R45" i="7"/>
  <c r="K208" i="13"/>
  <c r="K207" i="13"/>
  <c r="K184" i="13"/>
  <c r="K183" i="13"/>
  <c r="K205" i="13"/>
  <c r="K204" i="13"/>
  <c r="K181" i="13"/>
  <c r="K180" i="13"/>
  <c r="R57" i="7"/>
  <c r="R43" i="7"/>
  <c r="K202" i="13"/>
  <c r="K201" i="13"/>
  <c r="K178" i="13"/>
  <c r="K177" i="13"/>
  <c r="K158" i="13"/>
  <c r="K159" i="13"/>
  <c r="K198" i="13"/>
  <c r="K199" i="13"/>
  <c r="K156" i="13"/>
  <c r="K155" i="13"/>
  <c r="R60" i="7"/>
  <c r="K196" i="13"/>
  <c r="K195" i="13"/>
  <c r="K187" i="13"/>
  <c r="K186" i="13"/>
  <c r="R48" i="7"/>
  <c r="K193" i="13"/>
  <c r="K192" i="13"/>
  <c r="K150" i="13"/>
  <c r="K149" i="13"/>
  <c r="R10" i="7"/>
  <c r="R51" i="7"/>
  <c r="R47" i="7"/>
  <c r="K190" i="13"/>
  <c r="K189" i="13"/>
  <c r="C169" i="13"/>
  <c r="R52" i="7"/>
  <c r="G198" i="13"/>
  <c r="G199" i="13"/>
  <c r="C178" i="13"/>
  <c r="C177" i="13"/>
  <c r="C158" i="13"/>
  <c r="C159" i="13"/>
  <c r="C198" i="13"/>
  <c r="C199" i="13"/>
  <c r="C186" i="13"/>
  <c r="C187" i="13"/>
  <c r="C171" i="13"/>
  <c r="AC171" i="13" s="1"/>
  <c r="C156" i="13"/>
  <c r="C155" i="13"/>
  <c r="G208" i="13"/>
  <c r="G207" i="13"/>
  <c r="G196" i="13"/>
  <c r="G195" i="13"/>
  <c r="G183" i="13"/>
  <c r="G169" i="13"/>
  <c r="G153" i="13"/>
  <c r="G152" i="13"/>
  <c r="K153" i="13"/>
  <c r="K152" i="13"/>
  <c r="C202" i="13"/>
  <c r="C201" i="13"/>
  <c r="C208" i="13"/>
  <c r="C207" i="13"/>
  <c r="C152" i="13"/>
  <c r="C153" i="13"/>
  <c r="G205" i="13"/>
  <c r="G204" i="13"/>
  <c r="G181" i="13"/>
  <c r="G180" i="13"/>
  <c r="G149" i="13"/>
  <c r="G150" i="13"/>
  <c r="C165" i="13"/>
  <c r="AC165" i="13" s="1"/>
  <c r="C196" i="13"/>
  <c r="C195" i="13"/>
  <c r="C183" i="13"/>
  <c r="C184" i="13"/>
  <c r="G193" i="13"/>
  <c r="G192" i="13"/>
  <c r="C204" i="13"/>
  <c r="C205" i="13"/>
  <c r="C193" i="13"/>
  <c r="C192" i="13"/>
  <c r="C180" i="13"/>
  <c r="C181" i="13"/>
  <c r="C167" i="13"/>
  <c r="C161" i="13"/>
  <c r="AC161" i="13" s="1"/>
  <c r="C150" i="13"/>
  <c r="C149" i="13"/>
  <c r="G201" i="13"/>
  <c r="G202" i="13"/>
  <c r="G189" i="13"/>
  <c r="G190" i="13"/>
  <c r="G177" i="13"/>
  <c r="G178" i="13"/>
  <c r="G159" i="13"/>
  <c r="G158" i="13"/>
  <c r="C190" i="13"/>
  <c r="C189" i="13"/>
  <c r="G187" i="13"/>
  <c r="G186" i="13"/>
  <c r="G155" i="13"/>
  <c r="G156" i="13"/>
  <c r="F238" i="13" l="1"/>
  <c r="AC167" i="13"/>
  <c r="AC184" i="13"/>
  <c r="AC204" i="13"/>
  <c r="AC196" i="13"/>
  <c r="AC139" i="13"/>
  <c r="AC136" i="13"/>
  <c r="AC189" i="13"/>
  <c r="AC135" i="13"/>
  <c r="AC192" i="13"/>
  <c r="AC199" i="13"/>
  <c r="AC193" i="13"/>
  <c r="AC181" i="13"/>
  <c r="AC183" i="13"/>
  <c r="AC208" i="13"/>
  <c r="AC177" i="13"/>
  <c r="AC201" i="13"/>
  <c r="AC150" i="13"/>
  <c r="AC145" i="13"/>
  <c r="AC198" i="13"/>
  <c r="AC178" i="13"/>
  <c r="AC129" i="13"/>
  <c r="AC152" i="13"/>
  <c r="AC141" i="13"/>
  <c r="AC142" i="13"/>
  <c r="AC149" i="13"/>
  <c r="AC205" i="13"/>
  <c r="AC195" i="13"/>
  <c r="AC202" i="13"/>
  <c r="AC155" i="13"/>
  <c r="AC121" i="13"/>
  <c r="AC190" i="13"/>
  <c r="AC156" i="13"/>
  <c r="AC122" i="13"/>
  <c r="AC153" i="13"/>
  <c r="AC128" i="13"/>
  <c r="AC169" i="13"/>
  <c r="AC187" i="13"/>
  <c r="AC159" i="13"/>
  <c r="AC144" i="13"/>
  <c r="AC180" i="13"/>
  <c r="AC138" i="13"/>
  <c r="AC207" i="13"/>
  <c r="AC186" i="13"/>
  <c r="AC158" i="13"/>
  <c r="AC163" i="13"/>
  <c r="K39" i="7"/>
  <c r="L39" i="7"/>
  <c r="G87" i="13" s="1"/>
  <c r="M39" i="7"/>
  <c r="L36" i="7"/>
  <c r="M36" i="7"/>
  <c r="K79" i="13" s="1"/>
  <c r="K36" i="7"/>
  <c r="K88" i="13" l="1"/>
  <c r="K87" i="13"/>
  <c r="K80" i="13"/>
  <c r="C88" i="13"/>
  <c r="C87" i="13"/>
  <c r="C80" i="13"/>
  <c r="C79" i="13"/>
  <c r="G88" i="13"/>
  <c r="G80" i="13"/>
  <c r="G79" i="13"/>
  <c r="R39" i="7"/>
  <c r="R36" i="7"/>
  <c r="G260" i="13"/>
  <c r="AC102" i="13" l="1"/>
  <c r="AC101" i="13"/>
  <c r="AC113" i="13"/>
  <c r="AC112" i="13"/>
  <c r="M33" i="7" l="1"/>
  <c r="K71" i="13" s="1"/>
  <c r="H260" i="13" l="1"/>
  <c r="H261" i="13"/>
  <c r="H262" i="13"/>
  <c r="G263" i="13"/>
  <c r="H263" i="13"/>
  <c r="H264" i="13"/>
  <c r="H265" i="13"/>
  <c r="L33" i="7" l="1"/>
  <c r="G71" i="13" s="1"/>
  <c r="K33" i="7"/>
  <c r="C71" i="13" s="1"/>
  <c r="AC71" i="13" l="1"/>
  <c r="R33" i="7"/>
  <c r="K18" i="7"/>
  <c r="K20" i="7"/>
  <c r="L18" i="7"/>
  <c r="L20" i="7"/>
  <c r="M18" i="7"/>
  <c r="M20" i="7"/>
  <c r="K19" i="7"/>
  <c r="K28" i="7"/>
  <c r="L19" i="7"/>
  <c r="L28" i="7"/>
  <c r="M19" i="7"/>
  <c r="M28" i="7"/>
  <c r="M37" i="7"/>
  <c r="M40" i="7"/>
  <c r="M41" i="7"/>
  <c r="L37" i="7"/>
  <c r="L41" i="7"/>
  <c r="L40" i="7"/>
  <c r="K37" i="7"/>
  <c r="K40" i="7"/>
  <c r="K41" i="7"/>
  <c r="M31" i="7"/>
  <c r="K31" i="7"/>
  <c r="L31" i="7"/>
  <c r="M32" i="7"/>
  <c r="K68" i="13" s="1"/>
  <c r="M34" i="7"/>
  <c r="M35" i="7"/>
  <c r="L32" i="7"/>
  <c r="G68" i="13" s="1"/>
  <c r="L34" i="7"/>
  <c r="L35" i="7"/>
  <c r="K32" i="7"/>
  <c r="C68" i="13" s="1"/>
  <c r="K34" i="7"/>
  <c r="K35" i="7"/>
  <c r="L27" i="7"/>
  <c r="L29" i="7"/>
  <c r="G60" i="13" s="1"/>
  <c r="L25" i="7"/>
  <c r="L30" i="7"/>
  <c r="L26" i="7"/>
  <c r="K27" i="7"/>
  <c r="C54" i="13" s="1"/>
  <c r="K29" i="7"/>
  <c r="C60" i="13" s="1"/>
  <c r="K25" i="7"/>
  <c r="K30" i="7"/>
  <c r="K26" i="7"/>
  <c r="M30" i="7"/>
  <c r="M27" i="7"/>
  <c r="M25" i="7"/>
  <c r="M29" i="7"/>
  <c r="K60" i="13" s="1"/>
  <c r="M26" i="7"/>
  <c r="M11" i="7"/>
  <c r="M12" i="7"/>
  <c r="K216" i="13" s="1"/>
  <c r="M13" i="7"/>
  <c r="K23" i="13" s="1"/>
  <c r="M14" i="7"/>
  <c r="M15" i="7"/>
  <c r="M16" i="7"/>
  <c r="M17" i="7"/>
  <c r="M21" i="7"/>
  <c r="M22" i="7"/>
  <c r="M23" i="7"/>
  <c r="K222" i="13" s="1"/>
  <c r="L11" i="7"/>
  <c r="L12" i="7"/>
  <c r="G216" i="13" s="1"/>
  <c r="L13" i="7"/>
  <c r="G23" i="13" s="1"/>
  <c r="L14" i="7"/>
  <c r="L15" i="7"/>
  <c r="L16" i="7"/>
  <c r="L17" i="7"/>
  <c r="L21" i="7"/>
  <c r="L22" i="7"/>
  <c r="L23" i="7"/>
  <c r="G222" i="13" s="1"/>
  <c r="M63" i="7" l="1"/>
  <c r="L63" i="7"/>
  <c r="K21" i="13"/>
  <c r="G21" i="13"/>
  <c r="K49" i="13"/>
  <c r="K48" i="13"/>
  <c r="K82" i="13"/>
  <c r="K83" i="13"/>
  <c r="G49" i="13"/>
  <c r="G48" i="13"/>
  <c r="G82" i="13"/>
  <c r="G83" i="13"/>
  <c r="C82" i="13"/>
  <c r="C83" i="13"/>
  <c r="K77" i="13"/>
  <c r="K76" i="13"/>
  <c r="K94" i="13"/>
  <c r="K93" i="13"/>
  <c r="K225" i="13"/>
  <c r="G253" i="13" s="1"/>
  <c r="K226" i="13"/>
  <c r="H253" i="13" s="1"/>
  <c r="K74" i="13"/>
  <c r="K73" i="13"/>
  <c r="K65" i="13"/>
  <c r="K66" i="13"/>
  <c r="K91" i="13"/>
  <c r="K90" i="13"/>
  <c r="K54" i="13"/>
  <c r="K55" i="13"/>
  <c r="C225" i="13"/>
  <c r="G251" i="13" s="1"/>
  <c r="C226" i="13"/>
  <c r="K69" i="13"/>
  <c r="K63" i="13"/>
  <c r="K62" i="13"/>
  <c r="AC60" i="13"/>
  <c r="G226" i="13"/>
  <c r="H252" i="13" s="1"/>
  <c r="G225" i="13"/>
  <c r="G252" i="13" s="1"/>
  <c r="K58" i="13"/>
  <c r="K57" i="13"/>
  <c r="G26" i="13"/>
  <c r="G25" i="13"/>
  <c r="G34" i="13"/>
  <c r="K28" i="13"/>
  <c r="K29" i="13"/>
  <c r="G63" i="13"/>
  <c r="G62" i="13"/>
  <c r="C76" i="13"/>
  <c r="C77" i="13"/>
  <c r="G73" i="13"/>
  <c r="G74" i="13"/>
  <c r="C94" i="13"/>
  <c r="C93" i="13"/>
  <c r="G93" i="13"/>
  <c r="G94" i="13"/>
  <c r="G40" i="13"/>
  <c r="G39" i="13"/>
  <c r="K37" i="13"/>
  <c r="K36" i="13"/>
  <c r="C37" i="13"/>
  <c r="C36" i="13"/>
  <c r="G32" i="13"/>
  <c r="G31" i="13"/>
  <c r="K46" i="13"/>
  <c r="K45" i="13"/>
  <c r="K26" i="13"/>
  <c r="K25" i="13"/>
  <c r="K52" i="13"/>
  <c r="K51" i="13"/>
  <c r="C74" i="13"/>
  <c r="C73" i="13"/>
  <c r="G69" i="13"/>
  <c r="G65" i="13"/>
  <c r="G66" i="13"/>
  <c r="C90" i="13"/>
  <c r="C91" i="13"/>
  <c r="C57" i="13"/>
  <c r="C58" i="13"/>
  <c r="G42" i="13"/>
  <c r="G43" i="13"/>
  <c r="G28" i="13"/>
  <c r="G29" i="13"/>
  <c r="K34" i="13"/>
  <c r="C51" i="13"/>
  <c r="C52" i="13"/>
  <c r="C55" i="13"/>
  <c r="F240" i="13"/>
  <c r="C69" i="13"/>
  <c r="C66" i="13"/>
  <c r="C65" i="13"/>
  <c r="K40" i="13"/>
  <c r="K39" i="13"/>
  <c r="C40" i="13"/>
  <c r="C39" i="13"/>
  <c r="G36" i="13"/>
  <c r="G37" i="13"/>
  <c r="G46" i="13"/>
  <c r="G45" i="13"/>
  <c r="K32" i="13"/>
  <c r="K31" i="13"/>
  <c r="C63" i="13"/>
  <c r="C62" i="13"/>
  <c r="G52" i="13"/>
  <c r="G51" i="13"/>
  <c r="G54" i="13"/>
  <c r="G55" i="13"/>
  <c r="G77" i="13"/>
  <c r="G76" i="13"/>
  <c r="G91" i="13"/>
  <c r="G90" i="13"/>
  <c r="G58" i="13"/>
  <c r="G57" i="13"/>
  <c r="K42" i="13"/>
  <c r="K43" i="13"/>
  <c r="C43" i="13"/>
  <c r="C42" i="13"/>
  <c r="R30" i="7"/>
  <c r="R27" i="7"/>
  <c r="R32" i="7"/>
  <c r="R26" i="7"/>
  <c r="R40" i="7"/>
  <c r="R37" i="7"/>
  <c r="R25" i="7"/>
  <c r="R35" i="7"/>
  <c r="R20" i="7"/>
  <c r="R29" i="7"/>
  <c r="R34" i="7"/>
  <c r="R18" i="7"/>
  <c r="R28" i="7"/>
  <c r="R19" i="7"/>
  <c r="R31" i="7"/>
  <c r="R41" i="7"/>
  <c r="K15" i="13"/>
  <c r="G15" i="13"/>
  <c r="G236" i="13" l="1"/>
  <c r="I236" i="13"/>
  <c r="G237" i="13"/>
  <c r="I237" i="13"/>
  <c r="H237" i="13"/>
  <c r="H236" i="13"/>
  <c r="AC91" i="13"/>
  <c r="AC90" i="13"/>
  <c r="AC225" i="13"/>
  <c r="F253" i="13"/>
  <c r="AC108" i="13"/>
  <c r="AC73" i="13"/>
  <c r="AC93" i="13"/>
  <c r="AC54" i="13"/>
  <c r="AC87" i="13"/>
  <c r="AC74" i="13"/>
  <c r="AC115" i="13"/>
  <c r="AC68" i="13"/>
  <c r="AC224" i="13"/>
  <c r="AC37" i="13"/>
  <c r="AC96" i="13"/>
  <c r="AC82" i="13"/>
  <c r="AC94" i="13"/>
  <c r="AC55" i="13"/>
  <c r="AC116" i="13"/>
  <c r="AC88" i="13"/>
  <c r="AC80" i="13"/>
  <c r="AC107" i="13"/>
  <c r="AC69" i="13"/>
  <c r="AC65" i="13"/>
  <c r="AC226" i="13"/>
  <c r="AC66" i="13"/>
  <c r="AC105" i="13"/>
  <c r="AC62" i="13"/>
  <c r="AC119" i="13"/>
  <c r="AC77" i="13"/>
  <c r="AC58" i="13"/>
  <c r="AC104" i="13"/>
  <c r="AC63" i="13"/>
  <c r="AC118" i="13"/>
  <c r="AC76" i="13"/>
  <c r="AC79" i="13"/>
  <c r="AC223" i="13"/>
  <c r="AC36" i="13"/>
  <c r="AC97" i="13"/>
  <c r="AC57" i="13"/>
  <c r="AC83" i="13"/>
  <c r="F252" i="13" l="1"/>
  <c r="G7" i="13"/>
  <c r="G6" i="13"/>
  <c r="B7" i="13"/>
  <c r="B6" i="13"/>
  <c r="C211" i="13"/>
  <c r="C210" i="13"/>
  <c r="F258" i="13" s="1"/>
  <c r="C218" i="13"/>
  <c r="C217" i="13"/>
  <c r="C229" i="13"/>
  <c r="C228" i="13"/>
  <c r="D15" i="13"/>
  <c r="F244" i="13"/>
  <c r="F245" i="13"/>
  <c r="G16" i="13"/>
  <c r="E253" i="13"/>
  <c r="E72" i="7"/>
  <c r="E243" i="13"/>
  <c r="F82" i="7" l="1"/>
  <c r="E297" i="13"/>
  <c r="E251" i="13"/>
  <c r="E70" i="7"/>
  <c r="E295" i="13" s="1"/>
  <c r="E244" i="13"/>
  <c r="E71" i="7"/>
  <c r="E296" i="13" s="1"/>
  <c r="E252" i="13"/>
  <c r="E245" i="13"/>
  <c r="H88" i="7"/>
  <c r="K15" i="7"/>
  <c r="R15" i="7" s="1"/>
  <c r="K21" i="7"/>
  <c r="K17" i="7"/>
  <c r="C34" i="13" s="1"/>
  <c r="AC34" i="13" s="1"/>
  <c r="K22" i="7"/>
  <c r="C48" i="13" s="1"/>
  <c r="K11" i="7"/>
  <c r="K13" i="7"/>
  <c r="R13" i="7" s="1"/>
  <c r="K23" i="7"/>
  <c r="K12" i="7"/>
  <c r="K14" i="7"/>
  <c r="K16" i="7"/>
  <c r="H244" i="13"/>
  <c r="H245" i="13"/>
  <c r="K16" i="13"/>
  <c r="K63" i="7" l="1"/>
  <c r="R23" i="7"/>
  <c r="C222" i="13"/>
  <c r="R11" i="7"/>
  <c r="C21" i="13"/>
  <c r="I235" i="13" s="1"/>
  <c r="R14" i="7"/>
  <c r="C26" i="13"/>
  <c r="C25" i="13"/>
  <c r="AC25" i="13" s="1"/>
  <c r="R22" i="7"/>
  <c r="C49" i="13"/>
  <c r="AC49" i="13" s="1"/>
  <c r="AC48" i="13"/>
  <c r="R16" i="7"/>
  <c r="C31" i="13"/>
  <c r="AC31" i="13" s="1"/>
  <c r="C32" i="13"/>
  <c r="AC32" i="13" s="1"/>
  <c r="R21" i="7"/>
  <c r="C45" i="13"/>
  <c r="AC45" i="13" s="1"/>
  <c r="C46" i="13"/>
  <c r="AC46" i="13" s="1"/>
  <c r="D271" i="13"/>
  <c r="F81" i="7"/>
  <c r="H81" i="7" s="1"/>
  <c r="E235" i="13"/>
  <c r="E77" i="7"/>
  <c r="F80" i="7"/>
  <c r="D272" i="13"/>
  <c r="R17" i="7"/>
  <c r="C216" i="13"/>
  <c r="AC216" i="13" s="1"/>
  <c r="R12" i="7"/>
  <c r="AC52" i="13"/>
  <c r="AC51" i="13"/>
  <c r="AC39" i="13"/>
  <c r="AC40" i="13"/>
  <c r="C23" i="13"/>
  <c r="AC42" i="13"/>
  <c r="AC19" i="13"/>
  <c r="AC18" i="13"/>
  <c r="C29" i="13"/>
  <c r="AC29" i="13" s="1"/>
  <c r="C28" i="13"/>
  <c r="AC28" i="13" s="1"/>
  <c r="E237" i="13"/>
  <c r="E236" i="13"/>
  <c r="C15" i="13"/>
  <c r="C16" i="13"/>
  <c r="H82" i="7"/>
  <c r="H235" i="13" l="1"/>
  <c r="AC23" i="13"/>
  <c r="G235" i="13"/>
  <c r="H251" i="13"/>
  <c r="F251" i="13" s="1"/>
  <c r="R63" i="7"/>
  <c r="AC26" i="13"/>
  <c r="AC21" i="13"/>
  <c r="G259" i="13"/>
  <c r="AC15" i="13"/>
  <c r="AC43" i="13"/>
  <c r="I259" i="13"/>
  <c r="I266" i="13" s="1"/>
  <c r="E291" i="13" s="1"/>
  <c r="AC16" i="13"/>
  <c r="AC222" i="13"/>
  <c r="F87" i="7"/>
  <c r="F89" i="7" s="1"/>
  <c r="H89" i="7" s="1"/>
  <c r="D270" i="13"/>
  <c r="F243" i="13"/>
  <c r="H243" i="13" s="1"/>
  <c r="F237" i="13"/>
  <c r="F236" i="13"/>
  <c r="H80" i="7"/>
  <c r="H87" i="7" s="1"/>
  <c r="G266" i="13" l="1"/>
  <c r="E289" i="13" s="1"/>
  <c r="F235" i="13"/>
  <c r="H259" i="13"/>
  <c r="H266" i="13" s="1"/>
  <c r="E290" i="13" s="1"/>
  <c r="E292" i="13" s="1"/>
  <c r="F259" i="13" l="1"/>
  <c r="D273" i="13" s="1"/>
  <c r="F266" i="13" l="1"/>
  <c r="D274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jtrapnell</author>
    <author>Schroeder, Kevin@DHCS</author>
  </authors>
  <commentList>
    <comment ref="F235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F236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F237" authorId="0" shapeId="0" xr:uid="{00000000-0006-0000-0100-000003000000}">
      <text>
        <r>
          <rPr>
            <b/>
            <sz val="10"/>
            <color indexed="81"/>
            <rFont val="Tahoma"/>
            <family val="2"/>
          </rPr>
          <t>Does not include Minor Consent or CalWorks</t>
        </r>
      </text>
    </comment>
    <comment ref="F238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Does not include Minor Consent or CalWorks</t>
        </r>
      </text>
    </comment>
    <comment ref="F239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Does not include Minor Consent or CalWorks</t>
        </r>
      </text>
    </comment>
    <comment ref="F240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Does not include Minor Consent or CalWorks</t>
        </r>
      </text>
    </comment>
    <comment ref="F241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Does not include Minor Consent or CalWorks</t>
        </r>
      </text>
    </comment>
  </commentList>
</comments>
</file>

<file path=xl/sharedStrings.xml><?xml version="1.0" encoding="utf-8"?>
<sst xmlns="http://schemas.openxmlformats.org/spreadsheetml/2006/main" count="2117" uniqueCount="708">
  <si>
    <t>TOTAL</t>
  </si>
  <si>
    <t>DRUG MEDI-CAL PROGRAM COST SUMMARY</t>
  </si>
  <si>
    <t>DRUG MEDI-CAL FISCAL DETAIL</t>
  </si>
  <si>
    <t>NARCOTIC TREATMENT PROGRAM</t>
  </si>
  <si>
    <t>County Contract Submission</t>
  </si>
  <si>
    <t>COUNTY:</t>
  </si>
  <si>
    <t>UNIT OF SERVICE RATE</t>
  </si>
  <si>
    <t>Daily Dose - Methadone</t>
  </si>
  <si>
    <t>Individual Counseling @ 10 min.</t>
  </si>
  <si>
    <t>Group Counseling @ 10 min.</t>
  </si>
  <si>
    <t>Final UOS</t>
  </si>
  <si>
    <t>Provider Reimb.</t>
  </si>
  <si>
    <t>Total Reimb.</t>
  </si>
  <si>
    <t>GRAND TOTAL</t>
  </si>
  <si>
    <t>Total Units</t>
  </si>
  <si>
    <t>Data Entry</t>
  </si>
  <si>
    <t>Reg DMC</t>
  </si>
  <si>
    <t>Minor Consent</t>
  </si>
  <si>
    <t>Reimbursement</t>
  </si>
  <si>
    <t>Net Reimbursement</t>
  </si>
  <si>
    <t>Final Amount</t>
  </si>
  <si>
    <t>Federal Share</t>
  </si>
  <si>
    <t>County Share</t>
  </si>
  <si>
    <t>NET DOLLAR AMOUNT</t>
  </si>
  <si>
    <t>DEPARTMENT OF HEALTH CARE SERVICES</t>
  </si>
  <si>
    <t>Unit Description</t>
  </si>
  <si>
    <t>Denied Units</t>
  </si>
  <si>
    <t>Individual Counseling</t>
  </si>
  <si>
    <t>Group Counseling</t>
  </si>
  <si>
    <t>Dosing - Methadone</t>
  </si>
  <si>
    <t>Approved Units</t>
  </si>
  <si>
    <t>SUMMARY 
# UNITS OF SERVICE</t>
  </si>
  <si>
    <t>DMC by Grant Type</t>
  </si>
  <si>
    <t>DMC Reimbursement Amount</t>
  </si>
  <si>
    <t>County:</t>
  </si>
  <si>
    <t>DMC Program Amounts</t>
  </si>
  <si>
    <t>Fund Line No.</t>
  </si>
  <si>
    <t>200-b</t>
  </si>
  <si>
    <t>101a-b</t>
  </si>
  <si>
    <t>200-c</t>
  </si>
  <si>
    <t>By Program - Fees / DMC Share of Cost</t>
  </si>
  <si>
    <t>85</t>
  </si>
  <si>
    <t>By Program - Insurance</t>
  </si>
  <si>
    <t>101a-mc</t>
  </si>
  <si>
    <t>101a-cw</t>
  </si>
  <si>
    <t>CalWorks</t>
  </si>
  <si>
    <t>Insurance</t>
  </si>
  <si>
    <t>Individual UOS</t>
  </si>
  <si>
    <t>Group UOS</t>
  </si>
  <si>
    <t>Dosing UOS</t>
  </si>
  <si>
    <t>Revenue / DMC Share of Cost</t>
  </si>
  <si>
    <t>Revenue/ DMC Share of Cost</t>
  </si>
  <si>
    <t>Non-Perinatal Services</t>
  </si>
  <si>
    <t>Total units (UOS) denied for DMC reimbursement</t>
  </si>
  <si>
    <t>* UCC - Usual and Customary Charge</t>
  </si>
  <si>
    <t>Total Approved Units</t>
  </si>
  <si>
    <t>CalWorks Program - Program Code 87</t>
  </si>
  <si>
    <t>Minor Consent Program - Program Code 92</t>
  </si>
  <si>
    <t>DMC BHS 100% - Minor Consent Clients</t>
  </si>
  <si>
    <t>DMC Fed 100% - Refugee</t>
  </si>
  <si>
    <t>MC</t>
  </si>
  <si>
    <t>RRP</t>
  </si>
  <si>
    <t>CWTCVAPTV</t>
  </si>
  <si>
    <t>DMC Fed 50% T19 - Regular</t>
  </si>
  <si>
    <t>DMC BHS 50% - Regular</t>
  </si>
  <si>
    <t>DMC Fed 100%  - Refugee</t>
  </si>
  <si>
    <t>DMC BHS 100% Minor Consent Clients</t>
  </si>
  <si>
    <t>DMC BHS 100% CalWorks Trafficking Victim</t>
  </si>
  <si>
    <t xml:space="preserve">Aid Code Group </t>
  </si>
  <si>
    <t>DMC BHS 100% - CalWorks Trafficking Victim</t>
  </si>
  <si>
    <t>CONTRACT PERIOD:</t>
  </si>
  <si>
    <t>Insurance - T19/T21</t>
  </si>
  <si>
    <t>Share of Cost - T19/T21</t>
  </si>
  <si>
    <t>Share of Cost - non-T19/T21 (Minor Consent)</t>
  </si>
  <si>
    <t>Share of Cost - non-T19/T21(CalWorks)</t>
  </si>
  <si>
    <t>Insurance - non-T19/T21 (Minor Consent)</t>
  </si>
  <si>
    <t>Insurance - non-T19/T21(CalWorks)</t>
  </si>
  <si>
    <t>Non-T19/T21 Minor Consent</t>
  </si>
  <si>
    <t>Non-T19/21 CalWorks</t>
  </si>
  <si>
    <t>Final Approved UOS</t>
  </si>
  <si>
    <t>NTP - Non Perinatal</t>
  </si>
  <si>
    <t>Less SOC/Ins.</t>
  </si>
  <si>
    <t>Net Reimb.</t>
  </si>
  <si>
    <t>Provider or 
UCC Rate (*)</t>
  </si>
  <si>
    <t>Approved UOS
Title 19/21</t>
  </si>
  <si>
    <t>Approved 
Minor Consent Non-Title 19/21</t>
  </si>
  <si>
    <t>Approved 
CalWorks 
Non-Title 19/21</t>
  </si>
  <si>
    <t>Group
 Counseling</t>
  </si>
  <si>
    <t>Dosing -
 Methadone</t>
  </si>
  <si>
    <t>Group 
Counseling</t>
  </si>
  <si>
    <t>Individual 
Counseling</t>
  </si>
  <si>
    <t>Funding Source per Aid Code Grouping/Grant Type</t>
  </si>
  <si>
    <t xml:space="preserve">FINAL DOLLAR AMOUNT </t>
  </si>
  <si>
    <t xml:space="preserve">COST REPORT APPLICATION FUNDING WORKSHEET </t>
  </si>
  <si>
    <t>Share of Cost</t>
  </si>
  <si>
    <t>DMC Fed 88% T21 - ACA MCHIP Infants/Children &lt; 19</t>
  </si>
  <si>
    <t>DMC SGF 100% T19 - Regular for Undocumented Individuals &lt; age 19</t>
  </si>
  <si>
    <t>DMC SGF 100% T21 - MCHIP for SB 75</t>
  </si>
  <si>
    <t>DMC SGF 100% T19 - Targeted Low Income Children for Undocumented Individuals &lt; age 19</t>
  </si>
  <si>
    <t>TLICSB75</t>
  </si>
  <si>
    <t>DMC SGF 100% T19 - ACA Infants/Children &lt; age 19</t>
  </si>
  <si>
    <t>DMC SGF 100% T19 - ACA Parents/Other Caretakers for Undocumented Individuals &lt; age 19</t>
  </si>
  <si>
    <t>PAOCRT19SB75</t>
  </si>
  <si>
    <t>DMC SGF 100% T19 - ACA Pregnant Women for Undocumented Individuals &lt; age 19</t>
  </si>
  <si>
    <t>204-b</t>
  </si>
  <si>
    <t>DMC SGF 100% T19 - Regular SB 75</t>
  </si>
  <si>
    <t>204-d</t>
  </si>
  <si>
    <t>204-h</t>
  </si>
  <si>
    <t>DMC SGF 100% T19 - Targeted Low Income SB 75</t>
  </si>
  <si>
    <t>204-n</t>
  </si>
  <si>
    <t>DMC SGF 100% T19 - ACA Infants/Children &lt; age 19 SB 75</t>
  </si>
  <si>
    <t>204-t</t>
  </si>
  <si>
    <t>DMC SGF 100% T19 - ACA Parents/Other Caretakers for SB 75</t>
  </si>
  <si>
    <t>204-v</t>
  </si>
  <si>
    <t>DMC SGF 100% T19 - ACA Pregnant Women for SB 75</t>
  </si>
  <si>
    <t>SGF Share</t>
  </si>
  <si>
    <t>204-r</t>
  </si>
  <si>
    <t>DMC SGF 100% T21 - ACA MCHIP Infants/Children &lt; age 19 for SB 75</t>
  </si>
  <si>
    <t>MCHIPICUA19SB75</t>
  </si>
  <si>
    <t xml:space="preserve"> </t>
  </si>
  <si>
    <t>DMC Fed 93% - Adults Newly Eligible Aged 19-64 93/7</t>
  </si>
  <si>
    <t>DMC Fed 93% T19 - Low Income Health Program 93/7</t>
  </si>
  <si>
    <t>DMC SGF 7% T19 - Low Income Health Program 93/7</t>
  </si>
  <si>
    <t>DMC SGF 7% - Adults Newly Eligible Aged 19-64 93/7</t>
  </si>
  <si>
    <t xml:space="preserve">PROVIDER # </t>
  </si>
  <si>
    <t>Provider:</t>
  </si>
  <si>
    <t>DMC #</t>
  </si>
  <si>
    <t>PROVIDER:</t>
  </si>
  <si>
    <t>DMC #:</t>
  </si>
  <si>
    <t>PROVIDER #:</t>
  </si>
  <si>
    <t>223-y</t>
  </si>
  <si>
    <t>123a-y</t>
  </si>
  <si>
    <t>227-y</t>
  </si>
  <si>
    <t>127a-y</t>
  </si>
  <si>
    <t>223-i</t>
  </si>
  <si>
    <t>123a-i</t>
  </si>
  <si>
    <t>227-i</t>
  </si>
  <si>
    <t>127a-i</t>
  </si>
  <si>
    <t>DMC Fed 50% - Adults Newly Eligible Aged 19-64 50/50</t>
  </si>
  <si>
    <t>DMC SGF 50% - Adults Newly Eligible Aged 19-64 50/50</t>
  </si>
  <si>
    <t>DMC Fed 50% T19 - Low Income Health Program 50/50</t>
  </si>
  <si>
    <t>DMC SGF 50% T19 - Low Income Health Program 50/50</t>
  </si>
  <si>
    <t>Total Amount</t>
  </si>
  <si>
    <t xml:space="preserve">DMC Fed 69.34% T19 - BCCTP -  CVD19 Rate - Effective: 01/01/20 </t>
  </si>
  <si>
    <t>DMC Fed 76.5% - CalWorks Trafficking Victim -  Effective: 10/01/2019 - 09/30/2020</t>
  </si>
  <si>
    <t xml:space="preserve">DMC Fed 56.2% T19 - ACA Infants/Children &lt; age 19,  CVD19 Rate - Effective: 01/01/20 </t>
  </si>
  <si>
    <t xml:space="preserve">DMC Fed 56.2% T19 - Not Newly Eligible County Compassionate Release Citizen, CVD Rate - Effective: 01/01/20 </t>
  </si>
  <si>
    <t xml:space="preserve">DMC Fed 56.2% T21 - ACA Parents/Other Caretakers, CVD19 Rate - Effective: 01/01/20 </t>
  </si>
  <si>
    <t xml:space="preserve">DMC Fed 56.2% T19 - ACA Parents/Other Caretakers, CVD 19 Rate - Effective:  01/01/20 </t>
  </si>
  <si>
    <t xml:space="preserve">DMC Fed 56.2% T19 - ACA Pregnant Women, CVD19 Rate - Effective: 01/01/20 </t>
  </si>
  <si>
    <t xml:space="preserve">DMC Fed 69.34% T21 - ACA Pregnant Women, CVD19 Rate - Effective: 01/01/20 </t>
  </si>
  <si>
    <t>DMC Fed 80.84% T21 - MCHIPE2 - Effective: CVD19 Rate - 01/01/20 - 9/30/20</t>
  </si>
  <si>
    <t>DMC Fed 80.84% T21 - MCHIPE Healthy Families Program Transition - Effective: Covid Rates, 01/01/20 - 09/30/20</t>
  </si>
  <si>
    <t>DMC Fed 80.84% T21 - Medi-Cal Access Program, CVD19 Rate - Effective: 01/01/20 - 09/30/20</t>
  </si>
  <si>
    <t>DMC Fed 80.84% T21 - Hospital Presumptive Eligibility MCHIPE - Effective: 01/01/20 - 09/30/20</t>
  </si>
  <si>
    <t>DMC Fed 80.84% T21 - ACA MCHIPE Infants/Children &lt; age 19 - Effective: 01/01//20 - 09/30//20</t>
  </si>
  <si>
    <t>DMC Fed 69.34% T19 - Low Income Health Program  CVD19 Rate - Effective: 01/01/20</t>
  </si>
  <si>
    <t>DMC Fed 56.2% T19 - Adults Newly Eligible Aged 19-64 - CVD19 Rate - Effective: 01/01/20</t>
  </si>
  <si>
    <t>DMC Fed 69.34% T19 - Adults Newly Eligible Aged 19-64 - CVD19 Rate - Effective: 01/01/20</t>
  </si>
  <si>
    <t>REG - CVD19</t>
  </si>
  <si>
    <t>BCCTP - CVD19</t>
  </si>
  <si>
    <t>CWTCVAPTVE2</t>
  </si>
  <si>
    <t>ICUA19 - CVD19</t>
  </si>
  <si>
    <t>NECCRC 90/10</t>
  </si>
  <si>
    <t>PAOCRT21 - CVD19</t>
  </si>
  <si>
    <t>PAOCRT19 - CVD19</t>
  </si>
  <si>
    <t>PWT21 - CVD19</t>
  </si>
  <si>
    <t>MCHIPE2 - CVD19</t>
  </si>
  <si>
    <t>HFE2 - CVD19</t>
  </si>
  <si>
    <t>MCAP2 - CVD19</t>
  </si>
  <si>
    <t>HPEMCHIPE2</t>
  </si>
  <si>
    <t>HPEMCHIPE2 - CVD19</t>
  </si>
  <si>
    <t>MCHIPICUA19E2 - CVD19</t>
  </si>
  <si>
    <t>LIHP 50/50 - CVD19</t>
  </si>
  <si>
    <t>NEPNA 50/50 - CVD19</t>
  </si>
  <si>
    <t>NEPNA 65/35 - CVD19</t>
  </si>
  <si>
    <t>203-b</t>
  </si>
  <si>
    <t>DMC Fed 56.2% T19 - Regular - CVD19</t>
  </si>
  <si>
    <t>101a-c</t>
  </si>
  <si>
    <t>DMC BHS 43.8% - Regular - CVD19</t>
  </si>
  <si>
    <t>209-f</t>
  </si>
  <si>
    <t>DMC Fed 69.34% T19 - BCCTP - CVD19</t>
  </si>
  <si>
    <t>104a-f</t>
  </si>
  <si>
    <t>DMC BHS 30.66% - BCCTP - CVD19</t>
  </si>
  <si>
    <t>209-k</t>
  </si>
  <si>
    <t>DMC Fed 56.2% T19 - Hospital Presumptive Eligibility - CVD19</t>
  </si>
  <si>
    <t>105a-k</t>
  </si>
  <si>
    <t>DMC BHS 43.8% - Hospital Presumptive Eligibility - CVD19</t>
  </si>
  <si>
    <t>DMC Fed 56.2% T19 - ACA Infants/Children &lt; age 19 - CVD19</t>
  </si>
  <si>
    <t>203-p</t>
  </si>
  <si>
    <t>DMC Fed 56.2% T19 - Not Newly Eligible County Compassionate Release Citizen - CVD19</t>
  </si>
  <si>
    <t>102a-p</t>
  </si>
  <si>
    <t>DMC BHS 43.8% - T19 - Not Newly Eligible County Compassionate Release Citizen - CVD19</t>
  </si>
  <si>
    <t>225-pa</t>
  </si>
  <si>
    <t>DMC Fed 90% T19 - Newly Eligible County Compassionate Release Citizen</t>
  </si>
  <si>
    <t>124a-pa</t>
  </si>
  <si>
    <t>DMC Fed 56.2% T21 - ACA Parents/Other Caretakers - CVD19</t>
  </si>
  <si>
    <t>DMC Fed 56.2% T19 - ACA Parents/Other Caretakers - CVD19</t>
  </si>
  <si>
    <t>DMC Fed 56.2% T19 - ACA Pregnant Women - CVD19</t>
  </si>
  <si>
    <t>DMC Fed 69.34% T21 - ACA Pregnant Women - CVD19</t>
  </si>
  <si>
    <t>214-d</t>
  </si>
  <si>
    <t>108-ad</t>
  </si>
  <si>
    <t>212-d</t>
  </si>
  <si>
    <t>DMC Fed 80.84% T21 - MCHIPE2 - CVD19</t>
  </si>
  <si>
    <t>106a-d</t>
  </si>
  <si>
    <t>DMC BHS 19.16% - MCHIPE2 - CVD19</t>
  </si>
  <si>
    <t>210-e</t>
  </si>
  <si>
    <t>106a-e</t>
  </si>
  <si>
    <t>213-e</t>
  </si>
  <si>
    <t>DMC Fed 80.84% T21 - MCHIPE Healthy Families Program Transition - CVD19</t>
  </si>
  <si>
    <t>105a-e</t>
  </si>
  <si>
    <t>DMC BHS 19.16% - MCHIPE Healthy Families Program Transition - CVD19</t>
  </si>
  <si>
    <t>211-h</t>
  </si>
  <si>
    <t>105a-h</t>
  </si>
  <si>
    <t>215-h</t>
  </si>
  <si>
    <t>DMC Fed 80.84% T21 - MCHIPE Targeted Low Income Children - CVD19</t>
  </si>
  <si>
    <t>107a-h</t>
  </si>
  <si>
    <t>DMC BHS 19.16% - MCHIPE Targeted Low Income Children  - CVD19</t>
  </si>
  <si>
    <t>208-j</t>
  </si>
  <si>
    <t>DMC Fed 76.5% T21 - Medi-Cal Access Program</t>
  </si>
  <si>
    <t>105a-j</t>
  </si>
  <si>
    <t>209-j</t>
  </si>
  <si>
    <t>DMC Fed 80.84% T21 - Medi-Cal Access Program - CVD19</t>
  </si>
  <si>
    <t>106a-j</t>
  </si>
  <si>
    <t>DMC BHS 19.16% T21 - Medi-Cal Access Program - CVD19</t>
  </si>
  <si>
    <t>209-m</t>
  </si>
  <si>
    <t>DMC Fed 76.5% T21 - Hospital Presumptive Eligibility MCHIPE</t>
  </si>
  <si>
    <t>105a-m</t>
  </si>
  <si>
    <t>DMC BHS 23.5% - Hospital Presumptive Eligibility MCHIPE</t>
  </si>
  <si>
    <t>212-m</t>
  </si>
  <si>
    <t>DMC Fed 80.84% T21 - Hospital Presumptive Eligibility MCHIPE</t>
  </si>
  <si>
    <t>106a-m</t>
  </si>
  <si>
    <t>DMC BHS 19.16% - Hospital Presumptive Eligibility MCHIPE</t>
  </si>
  <si>
    <t>209-r</t>
  </si>
  <si>
    <t xml:space="preserve">DMC Fed 76.5% T21 - ACA MCHIPE Infants/Children &lt; age 19 </t>
  </si>
  <si>
    <t>105a-r</t>
  </si>
  <si>
    <t xml:space="preserve">DMC BHS 23.5% T21 - ACA MCHIPE Infants/Children &lt; age 19 </t>
  </si>
  <si>
    <t>213-r</t>
  </si>
  <si>
    <t xml:space="preserve">DMC Fed 80.84% T21 - ACA MCHIPE Infants/Children &lt; age 19, CVD19 </t>
  </si>
  <si>
    <t>106-r</t>
  </si>
  <si>
    <t xml:space="preserve">DMC BHS 19.16% T21 - ACA MCHIPE Infants/Children &lt; age 19, CVD19 </t>
  </si>
  <si>
    <t>235-i</t>
  </si>
  <si>
    <t>DMC Fed 56.2% T19 - Low Income Health Program - CVD19</t>
  </si>
  <si>
    <t>135a-i</t>
  </si>
  <si>
    <t>DMC SGF 43.8% T19 - Low Income Health Program - CVD19</t>
  </si>
  <si>
    <t>239-i</t>
  </si>
  <si>
    <t>DMC Fed 69.34% T19 - Low Income Health Program - CVD19</t>
  </si>
  <si>
    <t>139a-i</t>
  </si>
  <si>
    <t>DMC SGF 30.66% T19 - Low Income Health Program - CVD19</t>
  </si>
  <si>
    <t>231-i</t>
  </si>
  <si>
    <t>DMC Fed 90% T19 - Low Income Health Program 90/10</t>
  </si>
  <si>
    <t>131a-i</t>
  </si>
  <si>
    <t>DMC SGF 10% T19 - Low Income Health Program 90/10</t>
  </si>
  <si>
    <t>235-y</t>
  </si>
  <si>
    <t>DMC Fed 56.2% T19 - Adults Newly Eligible Aged 19-64 - CVD19</t>
  </si>
  <si>
    <t>135a-y</t>
  </si>
  <si>
    <t>DMC SGF 43.8% T19 - Adults Newly Eligible Aged 19-64 - CVD19</t>
  </si>
  <si>
    <t>239-y</t>
  </si>
  <si>
    <t>DMC Fed 69.34% T19 - Adults Newly Eligible Aged 19-64 - CVD19</t>
  </si>
  <si>
    <t>139a-y</t>
  </si>
  <si>
    <t>DMC SGF 30.66% T19 - Adults Newly Eligible Aged 19-64 - CVD19</t>
  </si>
  <si>
    <t>231-y</t>
  </si>
  <si>
    <t>DMC Fed 90% - Adults Newly Eligible Aged 19-64 90/10</t>
  </si>
  <si>
    <t>131-y</t>
  </si>
  <si>
    <t>DMC SGF 10% - Adults Newly Eligible Aged 19-64 90/10</t>
  </si>
  <si>
    <t>216-r</t>
  </si>
  <si>
    <t>DMC Fed 88% T19 - Not Newly Eligible FMAP Enhance</t>
  </si>
  <si>
    <t>107-r</t>
  </si>
  <si>
    <t>DMC BHS 12% T19 - Not Newly Eligible FMAP Enhance</t>
  </si>
  <si>
    <t>107a-cw</t>
  </si>
  <si>
    <t>DMC Fed 76.5% CalWorks Trafficking Victim</t>
  </si>
  <si>
    <t>104-cw</t>
  </si>
  <si>
    <t>DMC BHS 23.5% CalWorks Trafficking Victim</t>
  </si>
  <si>
    <t>DMC SGF 100% T19 Local Income Health Program for SB 75</t>
  </si>
  <si>
    <t>DMC SGF 100% T19  ACA New Adults 19-64 (NEPNA) SB 75</t>
  </si>
  <si>
    <t>NEPNA SB75</t>
  </si>
  <si>
    <t>242-i</t>
  </si>
  <si>
    <t>243-y</t>
  </si>
  <si>
    <t>202-r</t>
  </si>
  <si>
    <t>102a-r</t>
  </si>
  <si>
    <t>DMC BHS 12% - ACA MCHIP Infants/Children &lt; 19</t>
  </si>
  <si>
    <t>USDR</t>
  </si>
  <si>
    <t>Dosing - Buprenorphine</t>
  </si>
  <si>
    <t>Dosing - Disulfiram</t>
  </si>
  <si>
    <t>Dosing - Naloxone</t>
  </si>
  <si>
    <t>Daily Dose - Buprenorphine</t>
  </si>
  <si>
    <t>Daily Dose - Disulfiram</t>
  </si>
  <si>
    <t>Daily Dose - Naloxone</t>
  </si>
  <si>
    <t>Dosing - Buprenorphine-Naloxone Combination</t>
  </si>
  <si>
    <t>Daily Dose - Buprenorphine - Mono</t>
  </si>
  <si>
    <t>Daily Dose - Buprenorphine-Naloxone Combination</t>
  </si>
  <si>
    <t>Dosing - Buprenorphine Mono</t>
  </si>
  <si>
    <r>
      <t>Total Daily Rate</t>
    </r>
    <r>
      <rPr>
        <sz val="12"/>
        <color rgb="FFFF0000"/>
        <rFont val="Arial"/>
        <family val="2"/>
      </rPr>
      <t xml:space="preserve"> (Lower of UCC and USDR)</t>
    </r>
  </si>
  <si>
    <t>Item for Review</t>
  </si>
  <si>
    <t>Form 7990/FL Info</t>
  </si>
  <si>
    <t>Fiscal Detail Pages</t>
  </si>
  <si>
    <t>Non DMC FUNDING AND UNIT INFORMATION</t>
  </si>
  <si>
    <t>Non DMC Total Costs</t>
  </si>
  <si>
    <t>Non DMC Methadone Doses</t>
  </si>
  <si>
    <t>Non DMC Individual Counseling</t>
  </si>
  <si>
    <t>Non DMC Group Counseling</t>
  </si>
  <si>
    <t>Daily Dose - Buprenorphine Mono</t>
  </si>
  <si>
    <t>DMC FUNDING AND UNIT INFORMATION</t>
  </si>
  <si>
    <t>a) Regular DMC 
Total Federal Share - T19/T21</t>
  </si>
  <si>
    <t>b) Regular DMC 
Total BHS Share</t>
  </si>
  <si>
    <t>c) Regular DMC 
Total SGF Share</t>
  </si>
  <si>
    <t>Fees (Share of Costs) - Line 84</t>
  </si>
  <si>
    <t>Insurance - Line 85</t>
  </si>
  <si>
    <t>DMC Methadone Doses</t>
  </si>
  <si>
    <t>DMC Individual Counseling Units</t>
  </si>
  <si>
    <t>DMC Group Counseling Units</t>
  </si>
  <si>
    <t>PROVIDER RATE INFORMATION</t>
  </si>
  <si>
    <t>Service</t>
  </si>
  <si>
    <t>Standard Rate*</t>
  </si>
  <si>
    <t>Form 7990**</t>
  </si>
  <si>
    <t>* Standard rate for provider reimbursement is the Uniform Statewide Maximum Reimbursement (USMR) rate</t>
  </si>
  <si>
    <t xml:space="preserve">**DMC Administrative Costs are reported on DHCS Form MC 5312 </t>
  </si>
  <si>
    <t>102a-t</t>
  </si>
  <si>
    <t>202-t</t>
  </si>
  <si>
    <t>DMC Fed 80.84% T21 - Hospital Presumptive Eligibility MCHIPE - CVD19</t>
  </si>
  <si>
    <t>206-r</t>
  </si>
  <si>
    <t>103a-r</t>
  </si>
  <si>
    <t>DMC Fed 88% T21 - ACA MCHIPE Infants/Children &lt; age 19</t>
  </si>
  <si>
    <t>DMC SGF 12% T21 - ACA MCHIP Infants/Children &lt; age 19</t>
  </si>
  <si>
    <t>205-r</t>
  </si>
  <si>
    <t>DMC BHS 100% T21 - ACA MCHIPE Infants/Children &lt; age 19 for SB 75</t>
  </si>
  <si>
    <t>208-b</t>
  </si>
  <si>
    <t>DMC BHS 100% T19 - Regular SB 75</t>
  </si>
  <si>
    <t>208-d</t>
  </si>
  <si>
    <t>DMC BHS 100% T21 - MCHIP for SB 75</t>
  </si>
  <si>
    <t>208-h</t>
  </si>
  <si>
    <t>DMC BHS 100% T19 - Targeted Low Income SB 75</t>
  </si>
  <si>
    <t>208-n</t>
  </si>
  <si>
    <t>DMC BHS 100% T19 - ACA Infants/Children &lt; age 19 SB 75</t>
  </si>
  <si>
    <t>208-t</t>
  </si>
  <si>
    <t>DMC BHS 100% T19 - ACA Parents/Other Caretakers for SB 75</t>
  </si>
  <si>
    <t>208-v</t>
  </si>
  <si>
    <t>DMC BHS 100% T19 - ACA Pregnant Women for SB 75</t>
  </si>
  <si>
    <t>226-i</t>
  </si>
  <si>
    <t>126a-i</t>
  </si>
  <si>
    <t>DMC Fed 50% T19 - Low Income Health Program</t>
  </si>
  <si>
    <t>DMC BHS 50% T19 - Low Income Health Program</t>
  </si>
  <si>
    <t>234-i</t>
  </si>
  <si>
    <t>134a-i</t>
  </si>
  <si>
    <t>DMC BHS 43.8% T19 - Low Income Health Program - CVD19</t>
  </si>
  <si>
    <t>238-i</t>
  </si>
  <si>
    <t>138a-i</t>
  </si>
  <si>
    <t>DMC BHS 30.66% T19 - Low Income Health Program - CVD19</t>
  </si>
  <si>
    <t>222-i</t>
  </si>
  <si>
    <t>122a-i</t>
  </si>
  <si>
    <t>DMC Fed 93% T19 - Low Income Health Program</t>
  </si>
  <si>
    <t>DMC BHS 7% T19 - Low Income Health Program</t>
  </si>
  <si>
    <t>230-i</t>
  </si>
  <si>
    <t>130a-i</t>
  </si>
  <si>
    <t xml:space="preserve">DMC Fed 90% T19 - Low Income Health Program </t>
  </si>
  <si>
    <t>DMC BHS 10% T19 - Low Income Health Program</t>
  </si>
  <si>
    <t>226-y</t>
  </si>
  <si>
    <t>126a-y</t>
  </si>
  <si>
    <t>DMC Fed 50% T19 - Adults Newly Eligible Aged 19-64</t>
  </si>
  <si>
    <t>DMC BHS 50% T19 - Adults Newly Eligible Aged 19-64</t>
  </si>
  <si>
    <t>234-y</t>
  </si>
  <si>
    <t>134a-y</t>
  </si>
  <si>
    <t>DMC BHS 43.8% T19 - Adults Newly Eligible Aged 19-64 - CVD19</t>
  </si>
  <si>
    <t>238-y</t>
  </si>
  <si>
    <t>138a-y</t>
  </si>
  <si>
    <t>DMC BHS 30.66% T19 - Adults Newly Eligible Aged 19-64 - CVD19</t>
  </si>
  <si>
    <t>222-y</t>
  </si>
  <si>
    <t>122a-y</t>
  </si>
  <si>
    <t>DMC Fed 93% T19 - Adults Newly Eligible Aged 19-64</t>
  </si>
  <si>
    <t>DMC BHS 7% T19 - Adults Newly Eligible Aged 19-64</t>
  </si>
  <si>
    <t>230-y</t>
  </si>
  <si>
    <t>130a-y</t>
  </si>
  <si>
    <t>DMC Fed 90% T19 - Adults Newly Eligible Aged 19-64</t>
  </si>
  <si>
    <t>DMC BHS 10% T19 - Adults Newly Eligible Aged 19-64</t>
  </si>
  <si>
    <t>DMC SGF 43.8% - ACA Parents/Other Caretakers - CVD19</t>
  </si>
  <si>
    <t>202-n</t>
  </si>
  <si>
    <t>102a-n</t>
  </si>
  <si>
    <t>DMC SGF 43.8% - ACA Infants/Children &lt; age 19 - CVD19</t>
  </si>
  <si>
    <t>208-r</t>
  </si>
  <si>
    <t>104a-r</t>
  </si>
  <si>
    <t xml:space="preserve">DMC SGF 23.5% T21 - ACA MCHIPE Infants/Children &lt; age 19 </t>
  </si>
  <si>
    <t>212-r</t>
  </si>
  <si>
    <t>105-r</t>
  </si>
  <si>
    <t>DMC Fed 80.84% T21 - ACA MCHIPE Infants/Children &lt; age 19 - CVD19</t>
  </si>
  <si>
    <t>DMC SGF 19.16% T21 - ACA MCHIPE Infants/Children &lt; age 19 - CVD19</t>
  </si>
  <si>
    <t>208-s</t>
  </si>
  <si>
    <t>105a-s</t>
  </si>
  <si>
    <t>202-v</t>
  </si>
  <si>
    <t>102a-v</t>
  </si>
  <si>
    <t>DMC SGF 43.8% - ACA Pregnant Women - CVD19</t>
  </si>
  <si>
    <t>202-w</t>
  </si>
  <si>
    <t>102a-w</t>
  </si>
  <si>
    <t>DMC SGF 30.66% - ACA Pregnant Women - CVD19</t>
  </si>
  <si>
    <t xml:space="preserve">DMC BHS 10% T19 - Low Income Health Program </t>
  </si>
  <si>
    <t>245-i</t>
  </si>
  <si>
    <t>DMC BHS 100% T19 - Low Income Health Program</t>
  </si>
  <si>
    <t>DMC BHS 12% T21 - ACA MCHIP Infants/Children &lt; age 19</t>
  </si>
  <si>
    <t>245-y</t>
  </si>
  <si>
    <t xml:space="preserve">DMC BHS 100% T19 - Adults Newly Eligible Aged 19-64 </t>
  </si>
  <si>
    <t>DMC BHS 19.16% - Hospital Presumptive Eligibility MCHIPE - CVD19</t>
  </si>
  <si>
    <t>DMC BHS 100% T21 - ACA MCHIP Infants/Children &lt; age 19 for SB 75</t>
  </si>
  <si>
    <t>DMC SGF 7% T19 - Adults Newly Eligible Aged 19-64</t>
  </si>
  <si>
    <t>DMC SGF 50% T19 - Adults Newly Eligible Aged 19-64</t>
  </si>
  <si>
    <t>Total county match funds    (b+c)</t>
  </si>
  <si>
    <t xml:space="preserve">DMC Fed 56.2% T19 - Regular, CVD19 Rate - Effective: 01/01/2020 </t>
  </si>
  <si>
    <t>DMC Fed 76.5% T21 - MCHIPE</t>
  </si>
  <si>
    <t>DMC Fed 69.34% T21 - MCHIPE - Effective 10/01/20 - 06/30/2021</t>
  </si>
  <si>
    <t>DMC Fed 76.5% T21 - MCHIPE Healthy Families Program Transition</t>
  </si>
  <si>
    <t>DMC Fed 69.34% T21 - MCHIPE Healthy Families Program Transition - Effective 10/01/20 - 06/30/2021</t>
  </si>
  <si>
    <t>DMC Fed 69.34% T21 - Pregnancy Only</t>
  </si>
  <si>
    <t>DMC Fed 76.5% T21 - MCHIPE Targeted Low Income Children</t>
  </si>
  <si>
    <t>DMC Fed 69.34% T21 - MCHIPE Targeted Low Income Children - Effective: 10/01/20 - 06/30/2021</t>
  </si>
  <si>
    <t>DMC Fed 80.84% T21 - MCHIPE Targeted Low Income Children - CVD19 Rate,  Effective: 10/01/20 - 06/30/2021</t>
  </si>
  <si>
    <t>DMC Fed 90% T19 - Low Income Health Program - Effective: 01/01/20</t>
  </si>
  <si>
    <r>
      <t xml:space="preserve">DMC Fed 56.2% T19 - Low Income Health Program  CVD19 Rate- Effective: 01/01/20 </t>
    </r>
    <r>
      <rPr>
        <sz val="10"/>
        <rFont val="Arial"/>
        <family val="2"/>
      </rPr>
      <t/>
    </r>
  </si>
  <si>
    <t>DMC SGF 100% T19 - Low Income Health Program -  Effective: 01/01/20</t>
  </si>
  <si>
    <t xml:space="preserve">DMC Fed 76.5% T21 - Medi-Cal Access Program </t>
  </si>
  <si>
    <t xml:space="preserve">DMC Fed 69.34% T21 - Medi-Cal Access Program - Effective 10/01/19 </t>
  </si>
  <si>
    <t xml:space="preserve">DMC Fed 56.2% T19 - Hospital Presumptive Eligibility, CVD9 Rate - Effective: 01/01/20 - 09/30/20 </t>
  </si>
  <si>
    <t>DMC Fed 69.34% T21 - Hospital Presumptive Eligibility MCHIPE - Effective: 10/01/20 - 06/30/2021</t>
  </si>
  <si>
    <t>DMC Fed 76.5% T21 - ACA MCHIPE Infants/Children &lt; age 19</t>
  </si>
  <si>
    <t>DMC Fed 69.34% T21 - ACA MCHIPE Infants/Children &lt; age 19 -  Effective: 10/1//19 - 12/31//19</t>
  </si>
  <si>
    <t>DMC SGF 100% T21 - ACA MCHIP Infants/Children &lt; age 19 SB75</t>
  </si>
  <si>
    <t>DMC Fed 90% T19 - Newly Eligible County Compassionate Release Citizen - Effective: 1/1/20 - 12/31/20</t>
  </si>
  <si>
    <t>DMC Fed 90% T19 - Adults Newly Eligible Aged 19-64 - Effective 01/01/20</t>
  </si>
  <si>
    <t>DMC SGF 100% T19 - Adults Newly Eligible Aged 19-64 - Effective: 01/01/19</t>
  </si>
  <si>
    <t>DMC BHS 23.5% - MCHIPE</t>
  </si>
  <si>
    <t>DMC Fed 69.34% T21 - MCHIPE</t>
  </si>
  <si>
    <t>DMC BHS 30.66% - MCHIPE</t>
  </si>
  <si>
    <t>251-d</t>
  </si>
  <si>
    <t>151a-d</t>
  </si>
  <si>
    <t>DMC BHS 23.5% - MCHIPE Healthy Families Program Transition</t>
  </si>
  <si>
    <t xml:space="preserve">DMC Fed 69.34% T21 - MCHIPE Healthy Families Program Transition </t>
  </si>
  <si>
    <t xml:space="preserve">DMC BHS 30.66% - MCHIPE Healthy Families Program Transition </t>
  </si>
  <si>
    <t>251-e</t>
  </si>
  <si>
    <t>151a-e</t>
  </si>
  <si>
    <t>DMC BHS 30.66% - Pregnancy Only</t>
  </si>
  <si>
    <t>251-g</t>
  </si>
  <si>
    <t>151a-g</t>
  </si>
  <si>
    <t>DMC BHS 23.5% - MCHIPE Targeted Low Income Children</t>
  </si>
  <si>
    <t xml:space="preserve">DMC Fed 69.34% T21 - MCHIPE Targeted Low Income Children </t>
  </si>
  <si>
    <t xml:space="preserve">DMC BHS 30.66% - MCHIPE Targeted Low Income Children </t>
  </si>
  <si>
    <t>251-h</t>
  </si>
  <si>
    <t>151a-h</t>
  </si>
  <si>
    <t xml:space="preserve">DMC SGF 10% T19 - Low Income Health Program </t>
  </si>
  <si>
    <t>DMC SGF 100% T19 - Low Income Health Program</t>
  </si>
  <si>
    <t>DMC BHS 23.5% - Medi-Cal Access Program</t>
  </si>
  <si>
    <t>DMC Fed 69.34% T21 - Medi-Cal Access Program</t>
  </si>
  <si>
    <t>DMC BHS 30.66% T21 - Medi-Cal Access Program</t>
  </si>
  <si>
    <t>251-j</t>
  </si>
  <si>
    <t>151a-j</t>
  </si>
  <si>
    <t>DMC Fed 69.34% T21 - Hospital Presumptive Eligibility MCHIPE</t>
  </si>
  <si>
    <t>DMC BHS 30.66% - Hospital Presumptive Eligibility MCHIPE</t>
  </si>
  <si>
    <t>251-m</t>
  </si>
  <si>
    <t>151a-m</t>
  </si>
  <si>
    <t>DMC SGF 23.5% T21 - ACA MCHIP Infants/Children &lt; age 19</t>
  </si>
  <si>
    <t xml:space="preserve">DMC Fed 69.34% T21 - ACA MCHIPE Infants/Children &lt; age 19 </t>
  </si>
  <si>
    <t xml:space="preserve">DMC SGF 30.66% T21 - ACA MCHIPE Infants/Children &lt; age 19 </t>
  </si>
  <si>
    <t>250-r</t>
  </si>
  <si>
    <t>150a-r</t>
  </si>
  <si>
    <t>DMC SGF 100% T21 - ACA MCHIPE Infants/Children &lt; age 19 for SB 75</t>
  </si>
  <si>
    <t>DMC BHS 10% T19 -Newly Eligible County Compassionate Release Citizen</t>
  </si>
  <si>
    <t xml:space="preserve">DMC Fed 90% T19 - Adults Newly Eligible Aged 19-64 </t>
  </si>
  <si>
    <t xml:space="preserve">DMC SGF 10% T19 - Adults Newly Eligible Aged 19-64 </t>
  </si>
  <si>
    <t xml:space="preserve">DMC SGF 100% T19 - Adults Newly Eligible Aged 19-64 </t>
  </si>
  <si>
    <t>DMC Fed 56.2% T19 - Regular - CVD20</t>
  </si>
  <si>
    <t>DMC BHS 43.8% - Regular - CVD20</t>
  </si>
  <si>
    <t>DMC SGF 100% T19 - Regular SB 76</t>
  </si>
  <si>
    <t>DMC Fed 80.84% T21 - MCHIPE2 - CVD20</t>
  </si>
  <si>
    <t>DMC BHS 19.16% - MCHIPE2 - CVD20</t>
  </si>
  <si>
    <t>DMC SGF 100% T21 - MCHIP for SB 76</t>
  </si>
  <si>
    <t>DMC Fed 80.84% T21 - MCHIPE Healthy Families Program Transition - CVD20</t>
  </si>
  <si>
    <t>DMC BHS 19.16% - MCHIPE Healthy Families Program Transition - CVD20</t>
  </si>
  <si>
    <t>DMC Fed 69.34% T19 - BCCTP - CVD20</t>
  </si>
  <si>
    <t>DMC BHS 30.66% - BCCTP - CVD20</t>
  </si>
  <si>
    <t>DMC Fed 80.84% T21 - MCHIPE Targeted Low Income Children - CVD20</t>
  </si>
  <si>
    <t>DMC BHS 19.16% - MCHIPE Targeted Low Income Children  - CVD20</t>
  </si>
  <si>
    <t>DMC SGF 100% T19 - Targeted Low Income SB 76</t>
  </si>
  <si>
    <t>DMC Fed 56.2% T19 - Low Income Health Program - CVD20</t>
  </si>
  <si>
    <t>DMC SGF 43.8% T19 - Low Income Health Program - CVD20</t>
  </si>
  <si>
    <t>DMC Fed 69.34% T19 - Low Income Health Program - CVD20</t>
  </si>
  <si>
    <t>DMC SGF 30.66% T19 - Low Income Health Program - CVD20</t>
  </si>
  <si>
    <t>DMC Fed 80.84% T21 - Medi-Cal Access Program - CVD20</t>
  </si>
  <si>
    <t>DMC BHS 19.16% T21 - Medi-Cal Access Program - CVD20</t>
  </si>
  <si>
    <t>DMC Fed 56.2% T19 - Hospital Presumptive Eligibility - CVD20</t>
  </si>
  <si>
    <t>DMC BHS 43.8% - Hospital Presumptive Eligibility - CVD20</t>
  </si>
  <si>
    <t>DMC Fed 80.84% T21 - Hospital Presumptive Eligibility MCHIPE - CVD20</t>
  </si>
  <si>
    <t>DMC BHS 19.16% - Hospital Presumptive Eligibility MCHIPE - CVD20</t>
  </si>
  <si>
    <t>DMC Fed 56.2% T19 - ACA Infants/Children &lt; age 19 - CVD20</t>
  </si>
  <si>
    <t>DMC SGF 43.8% - ACA Infants/Children &lt; age 19 - CVD20</t>
  </si>
  <si>
    <t>DMC SGF 100% T19 - ACA Infants/Children &lt; age 19 SB 76</t>
  </si>
  <si>
    <t>DMC Fed 76.5% T21 - ACA MCHIPE Infants/Children &lt; age 20</t>
  </si>
  <si>
    <t>DMC SGF 23.5% T21 - ACA MCHIP Infants/Children &lt; age 20</t>
  </si>
  <si>
    <t>DMC Fed 69.34% T21 - ACA MCHIPE Infants/Children &lt; age 20</t>
  </si>
  <si>
    <t>DMC SGF 30.66% T21 - ACA MCHIPE Infants/Children &lt; age 20</t>
  </si>
  <si>
    <t>DMC Fed 80.84% T21 - ACA MCHIPE Infants/Children &lt; age 19 - CVD20</t>
  </si>
  <si>
    <t>DMC SGF 19.16% T21 - ACA MCHIPE Infants/Children &lt; age 19 - CVD20</t>
  </si>
  <si>
    <t>DMC SGF 100% T21 - ACA MCHIPE Infants/Children &lt; age 19 for SB 76</t>
  </si>
  <si>
    <t>DMC Fed 56.2% T19 - Not Newly Eligible County Compassionate Release Citizen - CVD20</t>
  </si>
  <si>
    <t>DMC BHS 43.8% - T19 - Not Newly Eligible County Compassionate Release Citizen - CVD20</t>
  </si>
  <si>
    <t>DMC Fed 56.2% T21 - ACA Parents/Other Caretakers - CVD20</t>
  </si>
  <si>
    <t>DMC SGF 43.8% - ACA Parents/Other Caretakers - CVD20</t>
  </si>
  <si>
    <t>DMC Fed 56.2% T19 - ACA Parents/Other Caretakers - CVD20</t>
  </si>
  <si>
    <t>DMC SGF 100% T19 - ACA Parents/Other Caretakers for SB 76</t>
  </si>
  <si>
    <t>DMC Fed 56.2% T19 - ACA Pregnant Women - CVD20</t>
  </si>
  <si>
    <t>DMC SGF 43.8% - ACA Pregnant Women - CVD20</t>
  </si>
  <si>
    <t>DMC SGF 100% T19 - ACA Pregnant Women for SB 76</t>
  </si>
  <si>
    <t>DMC Fed 69.34% T21 - ACA Pregnant Women - CVD20</t>
  </si>
  <si>
    <t>DMC SGF 30.66% - ACA Pregnant Women - CVD20</t>
  </si>
  <si>
    <t>DMC Fed 90% T19 - Adults Newly Eligible Aged 19-65</t>
  </si>
  <si>
    <t>DMC SGF 10% T19 - Adults Newly Eligible Aged 19-65</t>
  </si>
  <si>
    <t>DMC Fed 56.2% T19 - Adults Newly Eligible Aged 19-64 - CVD20</t>
  </si>
  <si>
    <t>DMC SGF 43.8% T19 - Adults Newly Eligible Aged 19-64 - CVD20</t>
  </si>
  <si>
    <t>DMC Fed 69.34% T19 - Adults Newly Eligible Aged 19-64 - CVD20</t>
  </si>
  <si>
    <t>DMC SGF 30.66% T19 - Adults Newly Eligible Aged 19-64 - CVD20</t>
  </si>
  <si>
    <t>DMC SGF 100% T19 - Adults Newly Eligible Aged 19-65</t>
  </si>
  <si>
    <t>DMC Fed 56.2% T19 - Regular - CVD21</t>
  </si>
  <si>
    <t>DMC BHS 43.8% - Regular - CVD21</t>
  </si>
  <si>
    <t>DMC SGF 100% T19 - Regular SB 77</t>
  </si>
  <si>
    <t>DMC Fed 80.84% T21 - MCHIPE2 - CVD21</t>
  </si>
  <si>
    <t>DMC BHS 19.16% - MCHIPE2 - CVD21</t>
  </si>
  <si>
    <t>DMC SGF 100% T21 - MCHIP for SB 77</t>
  </si>
  <si>
    <t>DMC Fed 80.84% T21 - MCHIPE Healthy Families Program Transition - CVD21</t>
  </si>
  <si>
    <t>DMC BHS 19.16% - MCHIPE Healthy Families Program Transition - CVD21</t>
  </si>
  <si>
    <t>DMC Fed 69.34% T19 - BCCTP - CVD21</t>
  </si>
  <si>
    <t>DMC BHS 30.66% - BCCTP - CVD21</t>
  </si>
  <si>
    <t>DMC Fed 80.84% T21 - MCHIPE Targeted Low Income Children - CVD21</t>
  </si>
  <si>
    <t>DMC BHS 19.16% - MCHIPE Targeted Low Income Children  - CVD21</t>
  </si>
  <si>
    <t>DMC SGF 100% T19 - Targeted Low Income SB 77</t>
  </si>
  <si>
    <t>DMC Fed 56.2% T19 - Low Income Health Program - CVD21</t>
  </si>
  <si>
    <t>DMC SGF 43.8% T19 - Low Income Health Program - CVD21</t>
  </si>
  <si>
    <t>DMC Fed 69.34% T19 - Low Income Health Program - CVD21</t>
  </si>
  <si>
    <t>DMC SGF 30.66% T19 - Low Income Health Program - CVD21</t>
  </si>
  <si>
    <t>DMC Fed 80.84% T21 - Medi-Cal Access Program - CVD21</t>
  </si>
  <si>
    <t>DMC BHS 19.16% T21 - Medi-Cal Access Program - CVD21</t>
  </si>
  <si>
    <t>DMC Fed 56.2% T19 - Hospital Presumptive Eligibility - CVD21</t>
  </si>
  <si>
    <t>DMC BHS 43.8% - Hospital Presumptive Eligibility - CVD21</t>
  </si>
  <si>
    <t>DMC Fed 80.84% T21 - Hospital Presumptive Eligibility MCHIPE - CVD21</t>
  </si>
  <si>
    <t>DMC BHS 19.16% - Hospital Presumptive Eligibility MCHIPE - CVD21</t>
  </si>
  <si>
    <t>DMC Fed 56.2% T19 - ACA Infants/Children &lt; age 19 - CVD21</t>
  </si>
  <si>
    <t>DMC SGF 43.8% - ACA Infants/Children &lt; age 19 - CVD21</t>
  </si>
  <si>
    <t>DMC SGF 100% T19 - ACA Infants/Children &lt; age 19 SB 77</t>
  </si>
  <si>
    <t>DMC Fed 76.5% T21 - ACA MCHIPE Infants/Children &lt; age 21</t>
  </si>
  <si>
    <t>DMC SGF 23.5% T21 - ACA MCHIP Infants/Children &lt; age 21</t>
  </si>
  <si>
    <t>DMC Fed 69.34% T21 - ACA MCHIPE Infants/Children &lt; age 21</t>
  </si>
  <si>
    <t>DMC SGF 30.66% T21 - ACA MCHIPE Infants/Children &lt; age 21</t>
  </si>
  <si>
    <t>DMC Fed 80.84% T21 - ACA MCHIPE Infants/Children &lt; age 19 - CVD21</t>
  </si>
  <si>
    <t>DMC SGF 19.16% T21 - ACA MCHIPE Infants/Children &lt; age 19 - CVD21</t>
  </si>
  <si>
    <t>DMC SGF 100% T21 - ACA MCHIPE Infants/Children &lt; age 19 for SB 77</t>
  </si>
  <si>
    <t>DMC Fed 56.2% T19 - Not Newly Eligible County Compassionate Release Citizen - CVD21</t>
  </si>
  <si>
    <t>DMC BHS 43.8% - T19 - Not Newly Eligible County Compassionate Release Citizen - CVD21</t>
  </si>
  <si>
    <t>DMC Fed 56.2% T21 - ACA Parents/Other Caretakers - CVD21</t>
  </si>
  <si>
    <t>DMC SGF 43.8% - ACA Parents/Other Caretakers - CVD21</t>
  </si>
  <si>
    <t>DMC Fed 56.2% T19 - ACA Parents/Other Caretakers - CVD21</t>
  </si>
  <si>
    <t>DMC SGF 100% T19 - ACA Parents/Other Caretakers for SB 77</t>
  </si>
  <si>
    <t>DMC Fed 56.2% T19 - ACA Pregnant Women - CVD21</t>
  </si>
  <si>
    <t>DMC SGF 43.8% - ACA Pregnant Women - CVD21</t>
  </si>
  <si>
    <t>DMC SGF 100% T19 - ACA Pregnant Women for SB 77</t>
  </si>
  <si>
    <t>DMC Fed 69.34% T21 - ACA Pregnant Women - CVD21</t>
  </si>
  <si>
    <t>DMC SGF 30.66% - ACA Pregnant Women - CVD21</t>
  </si>
  <si>
    <t>DMC Fed 90% T19 - Adults Newly Eligible Aged 19-66</t>
  </si>
  <si>
    <t>DMC SGF 10% T19 - Adults Newly Eligible Aged 19-66</t>
  </si>
  <si>
    <t>DMC Fed 56.2% T19 - Adults Newly Eligible Aged 19-64 - CVD21</t>
  </si>
  <si>
    <t>DMC SGF 43.8% T19 - Adults Newly Eligible Aged 19-64 - CVD21</t>
  </si>
  <si>
    <t>DMC Fed 69.34% T19 - Adults Newly Eligible Aged 19-64 - CVD21</t>
  </si>
  <si>
    <t>DMC SGF 30.66% T19 - Adults Newly Eligible Aged 19-64 - CVD21</t>
  </si>
  <si>
    <t>DMC SGF 100% T19 - Adults Newly Eligible Aged 19-66</t>
  </si>
  <si>
    <t>DMC Fed 56.2% T19 - Regular - CVD22</t>
  </si>
  <si>
    <t>DMC BHS 43.8% - Regular - CVD22</t>
  </si>
  <si>
    <t>DMC Fed 80.84% T21 - MCHIPE2 - CVD22</t>
  </si>
  <si>
    <t>DMC BHS 19.16% - MCHIPE2 - CVD22</t>
  </si>
  <si>
    <t>DMC Fed 80.84% T21 - MCHIPE Healthy Families Program Transition - CVD22</t>
  </si>
  <si>
    <t>DMC BHS 19.16% - MCHIPE Healthy Families Program Transition - CVD22</t>
  </si>
  <si>
    <t>DMC Fed 69.34% T19 - BCCTP - CVD22</t>
  </si>
  <si>
    <t>DMC BHS 30.66% - BCCTP - CVD22</t>
  </si>
  <si>
    <t>DMC Fed 80.84% T21 - MCHIPE Targeted Low Income Children - CVD22</t>
  </si>
  <si>
    <t>DMC BHS 19.16% - MCHIPE Targeted Low Income Children  - CVD22</t>
  </si>
  <si>
    <t>DMC Fed 80.84% T21 - Medi-Cal Access Program - CVD22</t>
  </si>
  <si>
    <t>DMC BHS 19.16% T21 - Medi-Cal Access Program - CVD22</t>
  </si>
  <si>
    <t>DMC Fed 56.2% T19 - Hospital Presumptive Eligibility - CVD22</t>
  </si>
  <si>
    <t>DMC BHS 43.8% - Hospital Presumptive Eligibility - CVD22</t>
  </si>
  <si>
    <t>DMC Fed 80.84% T21 - Hospital Presumptive Eligibility MCHIPE - CVD22</t>
  </si>
  <si>
    <t>DMC BHS 19.16% - Hospital Presumptive Eligibility MCHIPE - CVD22</t>
  </si>
  <si>
    <t>DMC Fed 56.2% T19 - Not Newly Eligible County Compassionate Release Citizen - CVD22</t>
  </si>
  <si>
    <t>DMC BHS 43.8% - T19 - Not Newly Eligible County Compassionate Release Citizen - CVD22</t>
  </si>
  <si>
    <t>DMC Fed 56.2% T19 - Regular - CVD23</t>
  </si>
  <si>
    <t>DMC BHS 43.8% - Regular - CVD23</t>
  </si>
  <si>
    <t>DMC Fed 80.84% T21 - MCHIPE2 - CVD23</t>
  </si>
  <si>
    <t>DMC BHS 19.16% - MCHIPE2 - CVD23</t>
  </si>
  <si>
    <t>DMC Fed 80.84% T21 - MCHIPE Healthy Families Program Transition - CVD23</t>
  </si>
  <si>
    <t>DMC BHS 19.16% - MCHIPE Healthy Families Program Transition - CVD23</t>
  </si>
  <si>
    <t>DMC Fed 69.34% T19 - BCCTP - CVD23</t>
  </si>
  <si>
    <t>DMC BHS 30.66% - BCCTP - CVD23</t>
  </si>
  <si>
    <t>DMC Fed 80.84% T21 - MCHIPE Targeted Low Income Children - CVD23</t>
  </si>
  <si>
    <t>DMC BHS 19.16% - MCHIPE Targeted Low Income Children  - CVD23</t>
  </si>
  <si>
    <t>DMC Fed 80.84% T21 - Medi-Cal Access Program - CVD23</t>
  </si>
  <si>
    <t>DMC BHS 19.16% T21 - Medi-Cal Access Program - CVD23</t>
  </si>
  <si>
    <t>DMC Fed 56.2% T19 - Hospital Presumptive Eligibility - CVD23</t>
  </si>
  <si>
    <t>DMC BHS 43.8% - Hospital Presumptive Eligibility - CVD23</t>
  </si>
  <si>
    <t>DMC Fed 80.84% T21 - Hospital Presumptive Eligibility MCHIPE - CVD23</t>
  </si>
  <si>
    <t>DMC BHS 19.16% - Hospital Presumptive Eligibility MCHIPE - CVD23</t>
  </si>
  <si>
    <t>DMC Fed 56.2% T19 - Not Newly Eligible County Compassionate Release Citizen - CVD23</t>
  </si>
  <si>
    <t>DMC BHS 43.8% - T19 - Not Newly Eligible County Compassionate Release Citizen - CVD23</t>
  </si>
  <si>
    <t>DMC Fed 56.2% T19 - Regular - CVD24</t>
  </si>
  <si>
    <t>DMC BHS 43.8% - Regular - CVD24</t>
  </si>
  <si>
    <t>DMC Fed 80.84% T21 - MCHIPE2 - CVD24</t>
  </si>
  <si>
    <t>DMC BHS 19.16% - MCHIPE2 - CVD24</t>
  </si>
  <si>
    <t>DMC Fed 80.84% T21 - MCHIPE Healthy Families Program Transition - CVD24</t>
  </si>
  <si>
    <t>DMC BHS 19.16% - MCHIPE Healthy Families Program Transition - CVD24</t>
  </si>
  <si>
    <t>DMC Fed 69.34% T19 - BCCTP - CVD24</t>
  </si>
  <si>
    <t>DMC BHS 30.66% - BCCTP - CVD24</t>
  </si>
  <si>
    <t>DMC Fed 80.84% T21 - MCHIPE Targeted Low Income Children - CVD24</t>
  </si>
  <si>
    <t>DMC BHS 19.16% - MCHIPE Targeted Low Income Children  - CVD24</t>
  </si>
  <si>
    <t>DMC Fed 80.84% T21 - Medi-Cal Access Program - CVD24</t>
  </si>
  <si>
    <t>DMC BHS 19.16% T21 - Medi-Cal Access Program - CVD24</t>
  </si>
  <si>
    <t>DMC Fed 56.2% T19 - Hospital Presumptive Eligibility - CVD24</t>
  </si>
  <si>
    <t>DMC BHS 43.8% - Hospital Presumptive Eligibility - CVD24</t>
  </si>
  <si>
    <t>DMC Fed 80.84% T21 - Hospital Presumptive Eligibility MCHIPE - CVD24</t>
  </si>
  <si>
    <t>DMC BHS 19.16% - Hospital Presumptive Eligibility MCHIPE - CVD24</t>
  </si>
  <si>
    <t>DMC Fed 56.2% T19 - Not Newly Eligible County Compassionate Release Citizen - CVD24</t>
  </si>
  <si>
    <t>DMC BHS 43.8% - T19 - Not Newly Eligible County Compassionate Release Citizen - CVD24</t>
  </si>
  <si>
    <t>DMC Fed 56.2% T19 - Regular - CVD25</t>
  </si>
  <si>
    <t>DMC BHS 43.8% - Regular - CVD25</t>
  </si>
  <si>
    <t>DMC Fed 80.84% T21 - MCHIPE2 - CVD25</t>
  </si>
  <si>
    <t>DMC BHS 19.16% - MCHIPE2 - CVD25</t>
  </si>
  <si>
    <t>DMC Fed 80.84% T21 - MCHIPE Healthy Families Program Transition - CVD25</t>
  </si>
  <si>
    <t>DMC BHS 19.16% - MCHIPE Healthy Families Program Transition - CVD25</t>
  </si>
  <si>
    <t>DMC Fed 69.34% T19 - BCCTP - CVD25</t>
  </si>
  <si>
    <t>DMC BHS 30.66% - BCCTP - CVD25</t>
  </si>
  <si>
    <t>DMC Fed 80.84% T21 - MCHIPE Targeted Low Income Children - CVD25</t>
  </si>
  <si>
    <t>DMC BHS 19.16% - MCHIPE Targeted Low Income Children  - CVD25</t>
  </si>
  <si>
    <t>DMC Fed 80.84% T21 - Medi-Cal Access Program - CVD25</t>
  </si>
  <si>
    <t>DMC BHS 19.16% T21 - Medi-Cal Access Program - CVD25</t>
  </si>
  <si>
    <t>DMC Fed 56.2% T19 - Hospital Presumptive Eligibility - CVD25</t>
  </si>
  <si>
    <t>DMC BHS 43.8% - Hospital Presumptive Eligibility - CVD25</t>
  </si>
  <si>
    <t>DMC Fed 80.84% T21 - Hospital Presumptive Eligibility MCHIPE - CVD25</t>
  </si>
  <si>
    <t>DMC BHS 19.16% - Hospital Presumptive Eligibility MCHIPE - CVD25</t>
  </si>
  <si>
    <t>DMC Fed 56.2% T19 - Not Newly Eligible County Compassionate Release Citizen - CVD25</t>
  </si>
  <si>
    <t>DMC BHS 43.8% - T19 - Not Newly Eligible County Compassionate Release Citizen - CVD25</t>
  </si>
  <si>
    <t>REGSB75</t>
  </si>
  <si>
    <t>MCHIPE2</t>
  </si>
  <si>
    <t>MCHIPSB75</t>
  </si>
  <si>
    <t>MCHIPE3 - CVD19</t>
  </si>
  <si>
    <t>HFE2</t>
  </si>
  <si>
    <t>HFE3 - CVD19</t>
  </si>
  <si>
    <t>AWPO-CVD19</t>
  </si>
  <si>
    <t>TLICE2</t>
  </si>
  <si>
    <t>TLICE3 - CVD19</t>
  </si>
  <si>
    <t>TLICE2 - CVD19</t>
  </si>
  <si>
    <t>LIHP 90/10</t>
  </si>
  <si>
    <t>LIHP 65/35 - CVD19</t>
  </si>
  <si>
    <t>LHIP SB75</t>
  </si>
  <si>
    <t>MCAP3 - CVD19</t>
  </si>
  <si>
    <t xml:space="preserve">HPE - CVD19 </t>
  </si>
  <si>
    <t>HPEMCHIPE3 - CVD19</t>
  </si>
  <si>
    <t>ICUA19SB75</t>
  </si>
  <si>
    <t>MCHIPICUA19E2</t>
  </si>
  <si>
    <t>MCHIPICUA19E3 - CVD19</t>
  </si>
  <si>
    <t>NNECCRC - CVD19</t>
  </si>
  <si>
    <t>PWT19 - CVD19</t>
  </si>
  <si>
    <t>PWT19SB75</t>
  </si>
  <si>
    <t>NEPNA1964 90/10</t>
  </si>
  <si>
    <t>203-n</t>
  </si>
  <si>
    <t>104a-n</t>
  </si>
  <si>
    <t>DMC BHS 43.8% - ACA Infants/Children &lt; age 19 - CVD19</t>
  </si>
  <si>
    <t>DMC BHS 23.5% T21 - ACA MCHIP Infants/Children &lt; age 19</t>
  </si>
  <si>
    <t>251-r</t>
  </si>
  <si>
    <t>151a-r</t>
  </si>
  <si>
    <t xml:space="preserve">DMC BHS 30.66% T21 - ACA MCHIPE Infants/Children &lt; age 19 </t>
  </si>
  <si>
    <t>DMC BHS 19.16% T21 - ACA MCHIPE Infants/Children &lt; age 19 - CVD19</t>
  </si>
  <si>
    <t>209-s</t>
  </si>
  <si>
    <t>104a-s</t>
  </si>
  <si>
    <t>DMC BHS 43.8% - ACA Parents/Other Caretakers - CVD19</t>
  </si>
  <si>
    <t>203-t</t>
  </si>
  <si>
    <t>104a-t</t>
  </si>
  <si>
    <t>203-v</t>
  </si>
  <si>
    <t>104a-v</t>
  </si>
  <si>
    <t>DMC BHS 43.8% - ACA Pregnant Women - CVD19</t>
  </si>
  <si>
    <t>203-w</t>
  </si>
  <si>
    <t>104a-w</t>
  </si>
  <si>
    <t>DMC BHS 30.66% - ACA Pregnant Women - CVD19</t>
  </si>
  <si>
    <t xml:space="preserve">MCAPE2 </t>
  </si>
  <si>
    <t>FISCAL YEAR 20-21</t>
  </si>
  <si>
    <t>DMC Fed 69.34% - CalWorks Trafficking Victim -  Effective: 10/01/2020 - 12/31/2020</t>
  </si>
  <si>
    <t>CWTCVAPTVE3-CVD19</t>
  </si>
  <si>
    <t>DMC SGF 100% T21 - ACA Pregnant Women - Young Adult Expansion</t>
  </si>
  <si>
    <t>PWT19-YAE</t>
  </si>
  <si>
    <t>DMC SGF 100% T19 - Adults Newly Eligible Aged 19-64 - Young Adult Expansion</t>
  </si>
  <si>
    <t>NEPNA-YAE</t>
  </si>
  <si>
    <t>DMC Fed 69.34% - CalWorks Trafficking Victim</t>
  </si>
  <si>
    <t>111a-cw</t>
  </si>
  <si>
    <t>111-cw</t>
  </si>
  <si>
    <t>DMC BHS 100% T19 - ACA Pregnant Women for Young Adult Expansion</t>
  </si>
  <si>
    <t>DMC BHS 100% T19 - Adults Newly Eligible Aged 19-64 - Young Adult Expansion</t>
  </si>
  <si>
    <t>257-y</t>
  </si>
  <si>
    <t>256-y</t>
  </si>
  <si>
    <t>212-v</t>
  </si>
  <si>
    <t>DMC SGF 100% T19 - ACA Pregnant Women for Young Adult Expansion</t>
  </si>
  <si>
    <t>211-v</t>
  </si>
  <si>
    <t>DMC SGF 100% T19 - ACA Parents/Other Caretakers - Young Adult Expansion</t>
  </si>
  <si>
    <t>PAOCRT19-YAE</t>
  </si>
  <si>
    <t>DMC BHS T19 100% - Hospital Presumptive Eligibility - Young Adult Expansion</t>
  </si>
  <si>
    <t>HPE-YAE</t>
  </si>
  <si>
    <t>213-k</t>
  </si>
  <si>
    <t>212-t</t>
  </si>
  <si>
    <t>213-t</t>
  </si>
  <si>
    <t>DMC BHS 100% T19 - ACA Parents/Other Caretakers - Young Adult Expansion</t>
  </si>
  <si>
    <t>DMC BHS 30.66% - CalWorks Trafficking Victim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</si>
</sst>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&quot;$&quot;#,##0.00"/>
    <numFmt numFmtId="167" formatCode="0.00_);[Red]\(0.0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b/>
      <u/>
      <sz val="10"/>
      <name val="Arial Narrow"/>
      <family val="2"/>
    </font>
    <font>
      <sz val="10"/>
      <name val="Arial Narrow"/>
      <family val="2"/>
    </font>
    <font>
      <b/>
      <u/>
      <sz val="14"/>
      <name val="Arial Narrow"/>
      <family val="2"/>
    </font>
    <font>
      <b/>
      <sz val="10"/>
      <name val="Arial Narrow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 Narrow"/>
      <family val="2"/>
    </font>
    <font>
      <sz val="11"/>
      <name val="Calibri"/>
      <family val="2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sz val="11"/>
      <color rgb="FF00B05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darkTrellis"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darkGray">
        <bgColor indexed="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</fills>
  <borders count="1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37" fontId="0" fillId="2" borderId="0"/>
    <xf numFmtId="0" fontId="11" fillId="0" borderId="0">
      <alignment vertical="center"/>
    </xf>
    <xf numFmtId="43" fontId="2" fillId="0" borderId="0" applyFont="0" applyFill="0" applyBorder="0" applyAlignment="0" applyProtection="0"/>
    <xf numFmtId="37" fontId="2" fillId="2" borderId="0"/>
    <xf numFmtId="44" fontId="18" fillId="0" borderId="0" applyFont="0" applyFill="0" applyBorder="0" applyAlignment="0" applyProtection="0"/>
    <xf numFmtId="0" fontId="1" fillId="0" borderId="0"/>
  </cellStyleXfs>
  <cellXfs count="594">
    <xf numFmtId="37" fontId="0" fillId="2" borderId="0" xfId="0" applyNumberFormat="1"/>
    <xf numFmtId="37" fontId="0" fillId="2" borderId="0" xfId="0" applyNumberFormat="1" applyBorder="1"/>
    <xf numFmtId="0" fontId="0" fillId="2" borderId="0" xfId="0" applyNumberFormat="1" applyAlignment="1">
      <alignment horizontal="centerContinuous"/>
    </xf>
    <xf numFmtId="0" fontId="0" fillId="2" borderId="0" xfId="0" applyNumberFormat="1"/>
    <xf numFmtId="0" fontId="0" fillId="2" borderId="0" xfId="0" applyNumberFormat="1" applyBorder="1"/>
    <xf numFmtId="37" fontId="0" fillId="2" borderId="0" xfId="0" applyNumberFormat="1" applyAlignment="1"/>
    <xf numFmtId="2" fontId="0" fillId="2" borderId="0" xfId="0" applyNumberFormat="1" applyBorder="1" applyProtection="1"/>
    <xf numFmtId="37" fontId="14" fillId="2" borderId="0" xfId="0" applyNumberFormat="1" applyFont="1" applyBorder="1" applyProtection="1"/>
    <xf numFmtId="37" fontId="15" fillId="2" borderId="20" xfId="0" applyNumberFormat="1" applyFont="1" applyBorder="1" applyAlignment="1" applyProtection="1">
      <alignment horizontal="center"/>
    </xf>
    <xf numFmtId="37" fontId="16" fillId="2" borderId="0" xfId="0" applyNumberFormat="1" applyFont="1" applyBorder="1" applyProtection="1"/>
    <xf numFmtId="37" fontId="10" fillId="0" borderId="0" xfId="0" applyNumberFormat="1" applyFont="1" applyFill="1" applyBorder="1" applyAlignment="1" applyProtection="1">
      <alignment horizontal="center"/>
    </xf>
    <xf numFmtId="37" fontId="16" fillId="2" borderId="22" xfId="0" applyNumberFormat="1" applyFont="1" applyBorder="1" applyAlignment="1" applyProtection="1">
      <alignment horizontal="center" wrapText="1"/>
    </xf>
    <xf numFmtId="37" fontId="16" fillId="2" borderId="23" xfId="0" applyNumberFormat="1" applyFont="1" applyBorder="1" applyAlignment="1" applyProtection="1">
      <alignment horizontal="center" wrapText="1"/>
    </xf>
    <xf numFmtId="37" fontId="0" fillId="2" borderId="0" xfId="0" applyNumberFormat="1" applyProtection="1"/>
    <xf numFmtId="37" fontId="0" fillId="2" borderId="0" xfId="0" applyNumberFormat="1" applyAlignment="1" applyProtection="1"/>
    <xf numFmtId="37" fontId="0" fillId="2" borderId="0" xfId="0" applyNumberFormat="1" applyBorder="1" applyProtection="1"/>
    <xf numFmtId="0" fontId="0" fillId="2" borderId="0" xfId="0" applyNumberFormat="1" applyAlignment="1" applyProtection="1">
      <alignment horizontal="right"/>
    </xf>
    <xf numFmtId="0" fontId="5" fillId="2" borderId="0" xfId="0" applyNumberFormat="1" applyFont="1" applyAlignment="1" applyProtection="1">
      <alignment horizontal="center"/>
    </xf>
    <xf numFmtId="0" fontId="0" fillId="2" borderId="0" xfId="0" applyNumberFormat="1" applyAlignment="1" applyProtection="1">
      <alignment horizontal="centerContinuous"/>
    </xf>
    <xf numFmtId="37" fontId="0" fillId="2" borderId="0" xfId="0" applyNumberFormat="1" applyAlignment="1" applyProtection="1">
      <alignment horizontal="right"/>
    </xf>
    <xf numFmtId="37" fontId="0" fillId="3" borderId="0" xfId="0" applyNumberFormat="1" applyFill="1" applyProtection="1"/>
    <xf numFmtId="0" fontId="0" fillId="2" borderId="0" xfId="0" applyNumberFormat="1" applyBorder="1" applyProtection="1"/>
    <xf numFmtId="37" fontId="0" fillId="2" borderId="0" xfId="0" applyNumberFormat="1" applyBorder="1" applyAlignment="1" applyProtection="1"/>
    <xf numFmtId="0" fontId="0" fillId="2" borderId="0" xfId="0" applyNumberFormat="1" applyProtection="1"/>
    <xf numFmtId="0" fontId="5" fillId="2" borderId="0" xfId="0" applyNumberFormat="1" applyFont="1" applyBorder="1" applyAlignment="1" applyProtection="1"/>
    <xf numFmtId="0" fontId="17" fillId="2" borderId="0" xfId="0" applyNumberFormat="1" applyFont="1" applyBorder="1" applyAlignment="1" applyProtection="1">
      <alignment horizontal="center" wrapText="1"/>
    </xf>
    <xf numFmtId="39" fontId="10" fillId="9" borderId="21" xfId="0" applyNumberFormat="1" applyFont="1" applyFill="1" applyBorder="1" applyProtection="1"/>
    <xf numFmtId="39" fontId="0" fillId="9" borderId="21" xfId="0" applyNumberFormat="1" applyFill="1" applyBorder="1" applyProtection="1"/>
    <xf numFmtId="37" fontId="10" fillId="2" borderId="0" xfId="0" applyNumberFormat="1" applyFont="1" applyBorder="1" applyProtection="1"/>
    <xf numFmtId="37" fontId="3" fillId="2" borderId="0" xfId="0" applyNumberFormat="1" applyFont="1" applyBorder="1" applyProtection="1"/>
    <xf numFmtId="0" fontId="0" fillId="2" borderId="0" xfId="0" applyNumberFormat="1" applyAlignment="1" applyProtection="1">
      <alignment horizontal="center"/>
    </xf>
    <xf numFmtId="0" fontId="5" fillId="5" borderId="27" xfId="0" applyNumberFormat="1" applyFont="1" applyFill="1" applyBorder="1" applyAlignment="1" applyProtection="1">
      <alignment wrapText="1"/>
    </xf>
    <xf numFmtId="0" fontId="4" fillId="5" borderId="43" xfId="0" applyNumberFormat="1" applyFont="1" applyFill="1" applyBorder="1" applyAlignment="1" applyProtection="1">
      <alignment horizontal="center" vertical="center" wrapText="1"/>
    </xf>
    <xf numFmtId="0" fontId="4" fillId="5" borderId="44" xfId="0" applyNumberFormat="1" applyFont="1" applyFill="1" applyBorder="1" applyAlignment="1" applyProtection="1">
      <alignment horizontal="center" vertical="top" wrapText="1"/>
    </xf>
    <xf numFmtId="0" fontId="6" fillId="5" borderId="41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Border="1" applyAlignment="1" applyProtection="1">
      <alignment horizontal="right"/>
    </xf>
    <xf numFmtId="0" fontId="0" fillId="2" borderId="46" xfId="0" applyNumberFormat="1" applyBorder="1" applyAlignment="1" applyProtection="1">
      <alignment horizontal="right"/>
    </xf>
    <xf numFmtId="0" fontId="8" fillId="2" borderId="0" xfId="0" applyNumberFormat="1" applyFont="1" applyBorder="1" applyAlignment="1" applyProtection="1">
      <alignment horizontal="center"/>
    </xf>
    <xf numFmtId="39" fontId="0" fillId="2" borderId="7" xfId="0" applyNumberFormat="1" applyBorder="1" applyProtection="1"/>
    <xf numFmtId="39" fontId="0" fillId="2" borderId="8" xfId="0" applyNumberFormat="1" applyBorder="1" applyProtection="1"/>
    <xf numFmtId="39" fontId="0" fillId="2" borderId="47" xfId="0" applyNumberFormat="1" applyBorder="1" applyProtection="1"/>
    <xf numFmtId="39" fontId="3" fillId="2" borderId="15" xfId="0" applyNumberFormat="1" applyFont="1" applyBorder="1" applyProtection="1"/>
    <xf numFmtId="0" fontId="0" fillId="2" borderId="4" xfId="0" applyNumberFormat="1" applyBorder="1" applyAlignment="1" applyProtection="1">
      <alignment horizontal="right"/>
    </xf>
    <xf numFmtId="43" fontId="4" fillId="2" borderId="14" xfId="2" applyFont="1" applyFill="1" applyBorder="1" applyAlignment="1" applyProtection="1"/>
    <xf numFmtId="43" fontId="10" fillId="2" borderId="15" xfId="2" applyFont="1" applyFill="1" applyBorder="1" applyAlignment="1" applyProtection="1"/>
    <xf numFmtId="0" fontId="0" fillId="3" borderId="0" xfId="0" applyNumberFormat="1" applyFill="1" applyBorder="1" applyProtection="1"/>
    <xf numFmtId="0" fontId="0" fillId="2" borderId="0" xfId="0" applyNumberFormat="1" applyBorder="1" applyAlignment="1" applyProtection="1">
      <alignment horizontal="right"/>
    </xf>
    <xf numFmtId="37" fontId="3" fillId="2" borderId="4" xfId="0" applyNumberFormat="1" applyFont="1" applyBorder="1" applyAlignment="1" applyProtection="1">
      <alignment horizontal="right"/>
    </xf>
    <xf numFmtId="43" fontId="3" fillId="2" borderId="39" xfId="2" applyFont="1" applyFill="1" applyBorder="1" applyProtection="1"/>
    <xf numFmtId="43" fontId="3" fillId="2" borderId="48" xfId="2" applyFont="1" applyFill="1" applyBorder="1" applyProtection="1"/>
    <xf numFmtId="39" fontId="3" fillId="2" borderId="14" xfId="0" applyNumberFormat="1" applyFont="1" applyBorder="1" applyProtection="1"/>
    <xf numFmtId="0" fontId="0" fillId="11" borderId="26" xfId="0" applyNumberFormat="1" applyFill="1" applyBorder="1" applyAlignment="1" applyProtection="1">
      <alignment horizontal="right"/>
    </xf>
    <xf numFmtId="39" fontId="0" fillId="11" borderId="2" xfId="0" applyNumberFormat="1" applyFill="1" applyBorder="1" applyProtection="1"/>
    <xf numFmtId="39" fontId="0" fillId="11" borderId="45" xfId="0" applyNumberFormat="1" applyFill="1" applyBorder="1" applyProtection="1"/>
    <xf numFmtId="39" fontId="3" fillId="11" borderId="3" xfId="0" applyNumberFormat="1" applyFont="1" applyFill="1" applyBorder="1" applyProtection="1"/>
    <xf numFmtId="43" fontId="10" fillId="11" borderId="3" xfId="2" applyFont="1" applyFill="1" applyBorder="1" applyAlignment="1" applyProtection="1"/>
    <xf numFmtId="43" fontId="3" fillId="11" borderId="16" xfId="2" applyFont="1" applyFill="1" applyBorder="1" applyProtection="1"/>
    <xf numFmtId="39" fontId="10" fillId="9" borderId="21" xfId="0" applyNumberFormat="1" applyFont="1" applyFill="1" applyBorder="1" applyAlignment="1" applyProtection="1"/>
    <xf numFmtId="0" fontId="0" fillId="2" borderId="0" xfId="0" applyNumberFormat="1" applyAlignment="1" applyProtection="1"/>
    <xf numFmtId="0" fontId="0" fillId="2" borderId="0" xfId="0" applyNumberFormat="1" applyAlignment="1"/>
    <xf numFmtId="0" fontId="5" fillId="2" borderId="0" xfId="0" applyNumberFormat="1" applyFont="1" applyBorder="1" applyAlignment="1" applyProtection="1"/>
    <xf numFmtId="37" fontId="0" fillId="2" borderId="0" xfId="0" applyNumberFormat="1" applyBorder="1" applyAlignment="1" applyProtection="1"/>
    <xf numFmtId="37" fontId="2" fillId="7" borderId="21" xfId="0" applyNumberFormat="1" applyFont="1" applyFill="1" applyBorder="1" applyAlignment="1" applyProtection="1">
      <alignment horizontal="right"/>
      <protection locked="0"/>
    </xf>
    <xf numFmtId="37" fontId="3" fillId="0" borderId="0" xfId="0" applyNumberFormat="1" applyFont="1" applyFill="1" applyBorder="1" applyAlignment="1" applyProtection="1"/>
    <xf numFmtId="37" fontId="0" fillId="0" borderId="0" xfId="0" applyNumberFormat="1" applyFill="1" applyAlignment="1" applyProtection="1"/>
    <xf numFmtId="0" fontId="0" fillId="0" borderId="0" xfId="0" applyNumberFormat="1" applyFill="1" applyProtection="1"/>
    <xf numFmtId="37" fontId="2" fillId="0" borderId="0" xfId="0" applyNumberFormat="1" applyFont="1" applyFill="1" applyBorder="1" applyAlignment="1" applyProtection="1"/>
    <xf numFmtId="37" fontId="0" fillId="0" borderId="0" xfId="0" applyNumberFormat="1" applyFill="1" applyBorder="1" applyAlignment="1" applyProtection="1"/>
    <xf numFmtId="15" fontId="5" fillId="2" borderId="0" xfId="0" applyNumberFormat="1" applyFont="1" applyAlignment="1" applyProtection="1">
      <alignment horizontal="center"/>
    </xf>
    <xf numFmtId="0" fontId="2" fillId="2" borderId="0" xfId="0" applyNumberFormat="1" applyFont="1" applyProtection="1"/>
    <xf numFmtId="37" fontId="14" fillId="2" borderId="0" xfId="0" applyNumberFormat="1" applyFont="1" applyBorder="1" applyAlignment="1" applyProtection="1">
      <alignment horizontal="left"/>
    </xf>
    <xf numFmtId="37" fontId="0" fillId="0" borderId="3" xfId="0" applyNumberFormat="1" applyFill="1" applyBorder="1" applyProtection="1"/>
    <xf numFmtId="37" fontId="0" fillId="0" borderId="24" xfId="0" applyNumberFormat="1" applyFill="1" applyBorder="1" applyProtection="1"/>
    <xf numFmtId="37" fontId="2" fillId="13" borderId="3" xfId="0" applyNumberFormat="1" applyFont="1" applyFill="1" applyBorder="1" applyProtection="1"/>
    <xf numFmtId="39" fontId="2" fillId="13" borderId="3" xfId="0" applyNumberFormat="1" applyFont="1" applyFill="1" applyBorder="1" applyProtection="1"/>
    <xf numFmtId="2" fontId="0" fillId="2" borderId="58" xfId="0" applyNumberFormat="1" applyBorder="1" applyProtection="1"/>
    <xf numFmtId="2" fontId="0" fillId="2" borderId="59" xfId="0" applyNumberFormat="1" applyBorder="1" applyProtection="1"/>
    <xf numFmtId="2" fontId="0" fillId="2" borderId="13" xfId="0" applyNumberFormat="1" applyBorder="1" applyProtection="1"/>
    <xf numFmtId="2" fontId="0" fillId="2" borderId="15" xfId="0" applyNumberFormat="1" applyBorder="1" applyProtection="1"/>
    <xf numFmtId="2" fontId="0" fillId="2" borderId="48" xfId="0" applyNumberFormat="1" applyBorder="1" applyProtection="1"/>
    <xf numFmtId="0" fontId="5" fillId="2" borderId="60" xfId="0" applyNumberFormat="1" applyFont="1" applyBorder="1" applyProtection="1"/>
    <xf numFmtId="0" fontId="8" fillId="2" borderId="61" xfId="0" applyNumberFormat="1" applyFont="1" applyBorder="1" applyAlignment="1" applyProtection="1">
      <alignment horizontal="center" wrapText="1"/>
    </xf>
    <xf numFmtId="0" fontId="8" fillId="2" borderId="62" xfId="0" applyNumberFormat="1" applyFont="1" applyBorder="1" applyAlignment="1" applyProtection="1">
      <alignment horizontal="center" wrapText="1"/>
    </xf>
    <xf numFmtId="0" fontId="8" fillId="2" borderId="57" xfId="0" applyNumberFormat="1" applyFont="1" applyBorder="1" applyAlignment="1" applyProtection="1">
      <alignment horizontal="center" wrapText="1"/>
    </xf>
    <xf numFmtId="0" fontId="6" fillId="5" borderId="0" xfId="0" applyNumberFormat="1" applyFont="1" applyFill="1" applyBorder="1" applyAlignment="1" applyProtection="1">
      <alignment horizontal="center" vertical="center" wrapText="1"/>
    </xf>
    <xf numFmtId="37" fontId="9" fillId="0" borderId="0" xfId="0" applyNumberFormat="1" applyFont="1" applyFill="1" applyBorder="1" applyProtection="1"/>
    <xf numFmtId="37" fontId="0" fillId="12" borderId="0" xfId="0" applyNumberFormat="1" applyFill="1" applyBorder="1" applyProtection="1"/>
    <xf numFmtId="37" fontId="16" fillId="2" borderId="40" xfId="0" applyNumberFormat="1" applyFont="1" applyBorder="1" applyAlignment="1" applyProtection="1">
      <alignment horizontal="center" wrapText="1"/>
    </xf>
    <xf numFmtId="37" fontId="16" fillId="2" borderId="9" xfId="0" applyNumberFormat="1" applyFont="1" applyBorder="1" applyAlignment="1" applyProtection="1">
      <alignment horizontal="center" wrapText="1"/>
    </xf>
    <xf numFmtId="37" fontId="16" fillId="2" borderId="41" xfId="0" applyNumberFormat="1" applyFont="1" applyBorder="1" applyAlignment="1" applyProtection="1">
      <alignment horizontal="center" wrapText="1"/>
    </xf>
    <xf numFmtId="37" fontId="0" fillId="0" borderId="0" xfId="0" applyNumberFormat="1" applyFill="1" applyBorder="1" applyProtection="1"/>
    <xf numFmtId="2" fontId="0" fillId="2" borderId="63" xfId="0" applyNumberFormat="1" applyBorder="1" applyProtection="1"/>
    <xf numFmtId="2" fontId="0" fillId="2" borderId="35" xfId="0" applyNumberFormat="1" applyBorder="1" applyProtection="1"/>
    <xf numFmtId="2" fontId="0" fillId="2" borderId="3" xfId="0" applyNumberFormat="1" applyBorder="1" applyProtection="1"/>
    <xf numFmtId="2" fontId="0" fillId="2" borderId="16" xfId="0" applyNumberFormat="1" applyBorder="1" applyProtection="1"/>
    <xf numFmtId="37" fontId="4" fillId="0" borderId="0" xfId="0" applyNumberFormat="1" applyFont="1" applyFill="1" applyBorder="1" applyProtection="1"/>
    <xf numFmtId="39" fontId="2" fillId="7" borderId="21" xfId="0" applyNumberFormat="1" applyFont="1" applyFill="1" applyBorder="1" applyAlignment="1" applyProtection="1">
      <alignment horizontal="right"/>
      <protection locked="0"/>
    </xf>
    <xf numFmtId="39" fontId="2" fillId="7" borderId="16" xfId="0" applyNumberFormat="1" applyFont="1" applyFill="1" applyBorder="1" applyAlignment="1" applyProtection="1">
      <alignment horizontal="right"/>
      <protection locked="0"/>
    </xf>
    <xf numFmtId="37" fontId="2" fillId="2" borderId="0" xfId="0" applyNumberFormat="1" applyFont="1"/>
    <xf numFmtId="37" fontId="0" fillId="0" borderId="58" xfId="0" applyNumberFormat="1" applyFill="1" applyBorder="1" applyProtection="1"/>
    <xf numFmtId="37" fontId="0" fillId="0" borderId="12" xfId="0" applyNumberFormat="1" applyFill="1" applyBorder="1" applyProtection="1"/>
    <xf numFmtId="37" fontId="0" fillId="9" borderId="16" xfId="0" applyNumberFormat="1" applyFill="1" applyBorder="1" applyProtection="1"/>
    <xf numFmtId="37" fontId="0" fillId="9" borderId="48" xfId="0" applyNumberFormat="1" applyFill="1" applyBorder="1" applyProtection="1"/>
    <xf numFmtId="37" fontId="9" fillId="9" borderId="66" xfId="0" applyNumberFormat="1" applyFont="1" applyFill="1" applyBorder="1" applyProtection="1"/>
    <xf numFmtId="37" fontId="9" fillId="9" borderId="47" xfId="0" applyNumberFormat="1" applyFont="1" applyFill="1" applyBorder="1" applyProtection="1"/>
    <xf numFmtId="37" fontId="9" fillId="9" borderId="15" xfId="0" applyNumberFormat="1" applyFont="1" applyFill="1" applyBorder="1" applyProtection="1"/>
    <xf numFmtId="0" fontId="6" fillId="0" borderId="0" xfId="0" applyNumberFormat="1" applyFont="1" applyFill="1" applyBorder="1" applyAlignment="1" applyProtection="1">
      <alignment horizontal="center" vertical="center" wrapText="1"/>
    </xf>
    <xf numFmtId="37" fontId="0" fillId="0" borderId="0" xfId="0" applyNumberFormat="1" applyFill="1" applyProtection="1"/>
    <xf numFmtId="0" fontId="4" fillId="5" borderId="68" xfId="0" applyNumberFormat="1" applyFont="1" applyFill="1" applyBorder="1" applyProtection="1"/>
    <xf numFmtId="0" fontId="4" fillId="5" borderId="69" xfId="0" applyNumberFormat="1" applyFont="1" applyFill="1" applyBorder="1" applyProtection="1"/>
    <xf numFmtId="0" fontId="4" fillId="5" borderId="70" xfId="0" applyNumberFormat="1" applyFont="1" applyFill="1" applyBorder="1" applyProtection="1"/>
    <xf numFmtId="0" fontId="4" fillId="5" borderId="39" xfId="0" applyNumberFormat="1" applyFont="1" applyFill="1" applyBorder="1" applyAlignment="1" applyProtection="1">
      <alignment horizontal="right"/>
    </xf>
    <xf numFmtId="0" fontId="0" fillId="2" borderId="71" xfId="0" applyNumberFormat="1" applyBorder="1" applyProtection="1"/>
    <xf numFmtId="0" fontId="0" fillId="2" borderId="70" xfId="0" applyNumberFormat="1" applyBorder="1" applyProtection="1"/>
    <xf numFmtId="0" fontId="0" fillId="2" borderId="64" xfId="0" applyNumberFormat="1" applyBorder="1" applyProtection="1"/>
    <xf numFmtId="0" fontId="4" fillId="5" borderId="72" xfId="0" applyNumberFormat="1" applyFont="1" applyFill="1" applyBorder="1" applyProtection="1"/>
    <xf numFmtId="0" fontId="0" fillId="2" borderId="73" xfId="0" applyNumberFormat="1" applyBorder="1" applyProtection="1"/>
    <xf numFmtId="0" fontId="0" fillId="2" borderId="74" xfId="0" applyNumberFormat="1" applyBorder="1" applyProtection="1"/>
    <xf numFmtId="37" fontId="16" fillId="2" borderId="18" xfId="0" applyNumberFormat="1" applyFont="1" applyBorder="1" applyAlignment="1" applyProtection="1">
      <alignment horizontal="center" wrapText="1"/>
    </xf>
    <xf numFmtId="37" fontId="13" fillId="2" borderId="0" xfId="0" applyNumberFormat="1" applyFont="1" applyBorder="1" applyAlignment="1" applyProtection="1">
      <alignment horizontal="center"/>
    </xf>
    <xf numFmtId="37" fontId="2" fillId="0" borderId="3" xfId="0" applyFont="1" applyFill="1" applyBorder="1" applyAlignment="1">
      <alignment wrapText="1"/>
    </xf>
    <xf numFmtId="37" fontId="2" fillId="2" borderId="3" xfId="0" applyFont="1" applyBorder="1" applyAlignment="1">
      <alignment wrapText="1"/>
    </xf>
    <xf numFmtId="37" fontId="2" fillId="0" borderId="29" xfId="0" applyFont="1" applyFill="1" applyBorder="1" applyAlignment="1">
      <alignment wrapText="1"/>
    </xf>
    <xf numFmtId="37" fontId="2" fillId="0" borderId="91" xfId="0" applyFont="1" applyFill="1" applyBorder="1" applyAlignment="1">
      <alignment wrapText="1"/>
    </xf>
    <xf numFmtId="37" fontId="2" fillId="2" borderId="91" xfId="0" applyFont="1" applyBorder="1" applyAlignment="1">
      <alignment wrapText="1"/>
    </xf>
    <xf numFmtId="37" fontId="2" fillId="0" borderId="3" xfId="0" applyFont="1" applyFill="1" applyBorder="1" applyAlignment="1">
      <alignment horizontal="left" vertical="center" wrapText="1"/>
    </xf>
    <xf numFmtId="165" fontId="2" fillId="0" borderId="91" xfId="2" applyNumberFormat="1" applyFont="1" applyFill="1" applyBorder="1" applyAlignment="1">
      <alignment horizontal="center"/>
    </xf>
    <xf numFmtId="165" fontId="2" fillId="0" borderId="91" xfId="2" applyNumberFormat="1" applyFont="1" applyFill="1" applyBorder="1" applyAlignment="1" applyProtection="1">
      <alignment horizontal="center"/>
    </xf>
    <xf numFmtId="167" fontId="2" fillId="0" borderId="3" xfId="2" applyNumberFormat="1" applyFont="1" applyFill="1" applyBorder="1" applyAlignment="1" applyProtection="1">
      <alignment horizontal="center"/>
    </xf>
    <xf numFmtId="165" fontId="2" fillId="0" borderId="29" xfId="2" applyNumberFormat="1" applyFont="1" applyFill="1" applyBorder="1" applyAlignment="1" applyProtection="1">
      <alignment horizontal="center"/>
    </xf>
    <xf numFmtId="165" fontId="2" fillId="0" borderId="3" xfId="2" applyNumberFormat="1" applyFont="1" applyFill="1" applyBorder="1" applyAlignment="1" applyProtection="1">
      <alignment horizontal="center"/>
    </xf>
    <xf numFmtId="165" fontId="2" fillId="0" borderId="3" xfId="2" applyNumberFormat="1" applyFont="1" applyFill="1" applyBorder="1" applyAlignment="1">
      <alignment horizontal="center"/>
    </xf>
    <xf numFmtId="37" fontId="2" fillId="0" borderId="3" xfId="0" applyFont="1" applyFill="1" applyBorder="1" applyAlignment="1">
      <alignment horizontal="center"/>
    </xf>
    <xf numFmtId="167" fontId="2" fillId="0" borderId="3" xfId="0" applyNumberFormat="1" applyFont="1" applyFill="1" applyBorder="1" applyAlignment="1">
      <alignment horizontal="center"/>
    </xf>
    <xf numFmtId="37" fontId="2" fillId="0" borderId="91" xfId="0" applyFont="1" applyFill="1" applyBorder="1" applyAlignment="1">
      <alignment horizontal="center"/>
    </xf>
    <xf numFmtId="37" fontId="2" fillId="0" borderId="91" xfId="0" applyFont="1" applyFill="1" applyBorder="1" applyAlignment="1">
      <alignment horizontal="center" vertical="top"/>
    </xf>
    <xf numFmtId="37" fontId="2" fillId="0" borderId="92" xfId="0" applyFont="1" applyFill="1" applyBorder="1" applyAlignment="1">
      <alignment horizontal="center"/>
    </xf>
    <xf numFmtId="165" fontId="2" fillId="0" borderId="93" xfId="2" applyNumberFormat="1" applyFont="1" applyFill="1" applyBorder="1" applyAlignment="1">
      <alignment horizontal="center"/>
    </xf>
    <xf numFmtId="165" fontId="2" fillId="0" borderId="93" xfId="2" applyNumberFormat="1" applyFont="1" applyFill="1" applyBorder="1" applyAlignment="1" applyProtection="1">
      <alignment horizontal="center"/>
    </xf>
    <xf numFmtId="167" fontId="2" fillId="0" borderId="92" xfId="2" applyNumberFormat="1" applyFont="1" applyFill="1" applyBorder="1" applyAlignment="1" applyProtection="1">
      <alignment horizontal="center"/>
    </xf>
    <xf numFmtId="165" fontId="2" fillId="0" borderId="20" xfId="2" applyNumberFormat="1" applyFont="1" applyFill="1" applyBorder="1" applyAlignment="1" applyProtection="1">
      <alignment horizontal="center"/>
    </xf>
    <xf numFmtId="165" fontId="2" fillId="0" borderId="92" xfId="2" applyNumberFormat="1" applyFont="1" applyFill="1" applyBorder="1" applyAlignment="1" applyProtection="1">
      <alignment horizontal="center"/>
    </xf>
    <xf numFmtId="165" fontId="2" fillId="0" borderId="92" xfId="2" applyNumberFormat="1" applyFont="1" applyFill="1" applyBorder="1" applyAlignment="1">
      <alignment horizontal="center"/>
    </xf>
    <xf numFmtId="167" fontId="2" fillId="0" borderId="92" xfId="0" applyNumberFormat="1" applyFont="1" applyFill="1" applyBorder="1" applyAlignment="1">
      <alignment horizontal="center"/>
    </xf>
    <xf numFmtId="37" fontId="2" fillId="0" borderId="93" xfId="0" applyFont="1" applyFill="1" applyBorder="1" applyAlignment="1">
      <alignment horizontal="center"/>
    </xf>
    <xf numFmtId="37" fontId="2" fillId="0" borderId="93" xfId="0" applyFont="1" applyFill="1" applyBorder="1" applyAlignment="1">
      <alignment horizontal="center" vertical="top"/>
    </xf>
    <xf numFmtId="165" fontId="2" fillId="0" borderId="79" xfId="2" applyNumberFormat="1" applyFont="1" applyFill="1" applyBorder="1" applyAlignment="1">
      <alignment horizontal="center"/>
    </xf>
    <xf numFmtId="165" fontId="2" fillId="0" borderId="79" xfId="2" applyNumberFormat="1" applyFont="1" applyFill="1" applyBorder="1" applyAlignment="1" applyProtection="1">
      <alignment horizontal="center"/>
    </xf>
    <xf numFmtId="167" fontId="2" fillId="0" borderId="14" xfId="2" applyNumberFormat="1" applyFont="1" applyFill="1" applyBorder="1" applyAlignment="1" applyProtection="1">
      <alignment horizontal="center"/>
    </xf>
    <xf numFmtId="165" fontId="2" fillId="0" borderId="96" xfId="2" applyNumberFormat="1" applyFont="1" applyFill="1" applyBorder="1" applyAlignment="1" applyProtection="1">
      <alignment horizontal="center"/>
    </xf>
    <xf numFmtId="165" fontId="2" fillId="0" borderId="14" xfId="2" applyNumberFormat="1" applyFont="1" applyFill="1" applyBorder="1" applyAlignment="1" applyProtection="1">
      <alignment horizontal="center"/>
    </xf>
    <xf numFmtId="37" fontId="2" fillId="0" borderId="97" xfId="0" applyFont="1" applyFill="1" applyBorder="1" applyAlignment="1">
      <alignment wrapText="1"/>
    </xf>
    <xf numFmtId="165" fontId="2" fillId="0" borderId="14" xfId="2" applyNumberFormat="1" applyFont="1" applyFill="1" applyBorder="1" applyAlignment="1">
      <alignment horizontal="center"/>
    </xf>
    <xf numFmtId="37" fontId="2" fillId="2" borderId="97" xfId="0" applyFont="1" applyBorder="1" applyAlignment="1">
      <alignment wrapText="1"/>
    </xf>
    <xf numFmtId="37" fontId="2" fillId="0" borderId="14" xfId="0" applyFont="1" applyFill="1" applyBorder="1" applyAlignment="1">
      <alignment horizontal="center"/>
    </xf>
    <xf numFmtId="167" fontId="2" fillId="0" borderId="14" xfId="0" applyNumberFormat="1" applyFont="1" applyFill="1" applyBorder="1" applyAlignment="1">
      <alignment horizontal="center"/>
    </xf>
    <xf numFmtId="37" fontId="2" fillId="0" borderId="79" xfId="0" applyFont="1" applyFill="1" applyBorder="1" applyAlignment="1">
      <alignment horizontal="center"/>
    </xf>
    <xf numFmtId="37" fontId="2" fillId="0" borderId="79" xfId="0" applyFont="1" applyFill="1" applyBorder="1" applyAlignment="1">
      <alignment horizontal="center" vertical="top"/>
    </xf>
    <xf numFmtId="37" fontId="2" fillId="2" borderId="99" xfId="0" applyFont="1" applyBorder="1"/>
    <xf numFmtId="167" fontId="2" fillId="0" borderId="100" xfId="0" applyNumberFormat="1" applyFont="1" applyFill="1" applyBorder="1"/>
    <xf numFmtId="37" fontId="14" fillId="2" borderId="0" xfId="0" applyNumberFormat="1" applyFont="1" applyAlignment="1" applyProtection="1">
      <alignment horizontal="center"/>
    </xf>
    <xf numFmtId="37" fontId="14" fillId="2" borderId="0" xfId="0" applyNumberFormat="1" applyFont="1" applyAlignment="1" applyProtection="1">
      <alignment wrapText="1"/>
    </xf>
    <xf numFmtId="2" fontId="2" fillId="2" borderId="0" xfId="0" applyNumberFormat="1" applyFont="1" applyAlignment="1" applyProtection="1">
      <alignment horizontal="center"/>
    </xf>
    <xf numFmtId="37" fontId="2" fillId="2" borderId="0" xfId="0" applyNumberFormat="1" applyFont="1" applyAlignment="1" applyProtection="1">
      <alignment horizontal="center"/>
    </xf>
    <xf numFmtId="2" fontId="2" fillId="2" borderId="0" xfId="0" applyNumberFormat="1" applyFont="1" applyProtection="1"/>
    <xf numFmtId="2" fontId="2" fillId="2" borderId="0" xfId="0" applyNumberFormat="1" applyFont="1"/>
    <xf numFmtId="37" fontId="2" fillId="12" borderId="0" xfId="0" applyFont="1" applyFill="1"/>
    <xf numFmtId="37" fontId="2" fillId="0" borderId="0" xfId="0" applyFont="1" applyFill="1"/>
    <xf numFmtId="2" fontId="2" fillId="2" borderId="0" xfId="0" applyNumberFormat="1" applyFont="1" applyAlignment="1" applyProtection="1"/>
    <xf numFmtId="37" fontId="2" fillId="2" borderId="0" xfId="0" applyFont="1"/>
    <xf numFmtId="2" fontId="3" fillId="2" borderId="0" xfId="0" applyNumberFormat="1" applyFont="1" applyAlignment="1"/>
    <xf numFmtId="37" fontId="3" fillId="2" borderId="0" xfId="0" applyNumberFormat="1" applyFont="1" applyAlignment="1"/>
    <xf numFmtId="37" fontId="2" fillId="2" borderId="0" xfId="0" applyNumberFormat="1" applyFont="1" applyAlignment="1"/>
    <xf numFmtId="2" fontId="2" fillId="2" borderId="0" xfId="0" applyNumberFormat="1" applyFont="1" applyAlignment="1"/>
    <xf numFmtId="37" fontId="3" fillId="2" borderId="0" xfId="0" applyNumberFormat="1" applyFont="1" applyAlignment="1" applyProtection="1">
      <alignment horizontal="center" wrapText="1"/>
    </xf>
    <xf numFmtId="37" fontId="2" fillId="2" borderId="0" xfId="0" applyNumberFormat="1" applyFont="1" applyAlignment="1" applyProtection="1">
      <alignment horizontal="right"/>
    </xf>
    <xf numFmtId="2" fontId="2" fillId="2" borderId="0" xfId="0" applyNumberFormat="1" applyFont="1" applyAlignment="1" applyProtection="1">
      <alignment horizontal="right"/>
    </xf>
    <xf numFmtId="0" fontId="2" fillId="2" borderId="20" xfId="0" applyNumberFormat="1" applyFont="1" applyBorder="1" applyAlignment="1" applyProtection="1">
      <alignment horizontal="center"/>
    </xf>
    <xf numFmtId="2" fontId="2" fillId="2" borderId="0" xfId="0" applyNumberFormat="1" applyFont="1" applyAlignment="1" applyProtection="1">
      <alignment horizontal="right" wrapText="1"/>
    </xf>
    <xf numFmtId="37" fontId="3" fillId="2" borderId="0" xfId="0" applyNumberFormat="1" applyFont="1" applyBorder="1" applyAlignment="1" applyProtection="1">
      <alignment horizontal="center"/>
    </xf>
    <xf numFmtId="2" fontId="2" fillId="2" borderId="0" xfId="0" applyNumberFormat="1" applyFont="1" applyBorder="1" applyAlignment="1" applyProtection="1">
      <alignment horizontal="center"/>
    </xf>
    <xf numFmtId="37" fontId="2" fillId="2" borderId="0" xfId="0" applyNumberFormat="1" applyFont="1" applyBorder="1" applyAlignment="1" applyProtection="1">
      <alignment horizontal="center"/>
    </xf>
    <xf numFmtId="2" fontId="2" fillId="2" borderId="0" xfId="0" applyNumberFormat="1" applyFont="1" applyBorder="1" applyProtection="1"/>
    <xf numFmtId="37" fontId="2" fillId="2" borderId="0" xfId="0" applyNumberFormat="1" applyFont="1" applyBorder="1"/>
    <xf numFmtId="2" fontId="2" fillId="2" borderId="0" xfId="0" applyNumberFormat="1" applyFont="1" applyAlignment="1">
      <alignment horizontal="right"/>
    </xf>
    <xf numFmtId="164" fontId="2" fillId="2" borderId="0" xfId="0" applyNumberFormat="1" applyFont="1" applyBorder="1"/>
    <xf numFmtId="37" fontId="2" fillId="2" borderId="0" xfId="0" applyNumberFormat="1" applyFont="1" applyAlignment="1">
      <alignment wrapText="1"/>
    </xf>
    <xf numFmtId="37" fontId="2" fillId="12" borderId="0" xfId="0" applyNumberFormat="1" applyFont="1" applyFill="1"/>
    <xf numFmtId="37" fontId="2" fillId="0" borderId="0" xfId="0" applyNumberFormat="1" applyFont="1" applyFill="1"/>
    <xf numFmtId="37" fontId="14" fillId="2" borderId="0" xfId="0" applyNumberFormat="1" applyFont="1" applyBorder="1" applyAlignment="1" applyProtection="1">
      <alignment wrapText="1"/>
    </xf>
    <xf numFmtId="37" fontId="2" fillId="2" borderId="20" xfId="0" applyNumberFormat="1" applyFont="1" applyBorder="1" applyAlignment="1" applyProtection="1">
      <alignment horizontal="center"/>
    </xf>
    <xf numFmtId="2" fontId="2" fillId="2" borderId="20" xfId="0" applyNumberFormat="1" applyFont="1" applyBorder="1" applyProtection="1"/>
    <xf numFmtId="37" fontId="2" fillId="2" borderId="20" xfId="0" applyNumberFormat="1" applyFont="1" applyBorder="1"/>
    <xf numFmtId="2" fontId="2" fillId="2" borderId="20" xfId="0" applyNumberFormat="1" applyFont="1" applyBorder="1" applyAlignment="1">
      <alignment horizontal="right"/>
    </xf>
    <xf numFmtId="164" fontId="2" fillId="12" borderId="0" xfId="0" applyNumberFormat="1" applyFont="1" applyFill="1" applyBorder="1" applyAlignment="1">
      <alignment vertical="center"/>
    </xf>
    <xf numFmtId="37" fontId="2" fillId="12" borderId="0" xfId="0" applyNumberFormat="1" applyFont="1" applyFill="1" applyAlignment="1">
      <alignment vertical="center"/>
    </xf>
    <xf numFmtId="37" fontId="23" fillId="2" borderId="41" xfId="0" applyNumberFormat="1" applyFont="1" applyBorder="1" applyAlignment="1" applyProtection="1">
      <alignment horizontal="center" wrapText="1"/>
    </xf>
    <xf numFmtId="2" fontId="23" fillId="2" borderId="18" xfId="0" applyNumberFormat="1" applyFont="1" applyBorder="1" applyAlignment="1" applyProtection="1">
      <alignment horizontal="center" wrapText="1"/>
    </xf>
    <xf numFmtId="2" fontId="23" fillId="2" borderId="9" xfId="0" applyNumberFormat="1" applyFont="1" applyBorder="1" applyAlignment="1" applyProtection="1">
      <alignment horizontal="center" wrapText="1"/>
    </xf>
    <xf numFmtId="37" fontId="23" fillId="2" borderId="18" xfId="0" applyNumberFormat="1" applyFont="1" applyBorder="1" applyAlignment="1" applyProtection="1">
      <alignment horizontal="center" wrapText="1"/>
    </xf>
    <xf numFmtId="37" fontId="23" fillId="12" borderId="18" xfId="0" applyNumberFormat="1" applyFont="1" applyFill="1" applyBorder="1" applyAlignment="1">
      <alignment horizontal="center" wrapText="1"/>
    </xf>
    <xf numFmtId="49" fontId="2" fillId="0" borderId="53" xfId="0" applyNumberFormat="1" applyFont="1" applyFill="1" applyBorder="1" applyAlignment="1" applyProtection="1">
      <alignment horizontal="center"/>
    </xf>
    <xf numFmtId="37" fontId="2" fillId="0" borderId="21" xfId="0" applyNumberFormat="1" applyFont="1" applyFill="1" applyBorder="1" applyAlignment="1" applyProtection="1">
      <alignment wrapText="1"/>
    </xf>
    <xf numFmtId="2" fontId="24" fillId="0" borderId="21" xfId="2" applyNumberFormat="1" applyFont="1" applyFill="1" applyBorder="1" applyAlignment="1" applyProtection="1"/>
    <xf numFmtId="37" fontId="24" fillId="0" borderId="10" xfId="0" applyNumberFormat="1" applyFont="1" applyFill="1" applyBorder="1" applyAlignment="1" applyProtection="1">
      <alignment horizontal="center"/>
    </xf>
    <xf numFmtId="49" fontId="2" fillId="0" borderId="11" xfId="0" applyNumberFormat="1" applyFont="1" applyFill="1" applyBorder="1" applyAlignment="1" applyProtection="1">
      <alignment horizontal="center"/>
    </xf>
    <xf numFmtId="49" fontId="2" fillId="0" borderId="21" xfId="0" applyNumberFormat="1" applyFont="1" applyFill="1" applyBorder="1" applyAlignment="1" applyProtection="1">
      <alignment wrapText="1"/>
    </xf>
    <xf numFmtId="2" fontId="24" fillId="0" borderId="30" xfId="2" applyNumberFormat="1" applyFont="1" applyFill="1" applyBorder="1" applyAlignment="1" applyProtection="1"/>
    <xf numFmtId="44" fontId="24" fillId="0" borderId="11" xfId="4" applyFont="1" applyFill="1" applyBorder="1" applyAlignment="1">
      <alignment vertical="center"/>
    </xf>
    <xf numFmtId="49" fontId="2" fillId="0" borderId="14" xfId="0" applyNumberFormat="1" applyFont="1" applyFill="1" applyBorder="1" applyAlignment="1" applyProtection="1">
      <alignment horizontal="center"/>
    </xf>
    <xf numFmtId="37" fontId="2" fillId="0" borderId="3" xfId="0" applyNumberFormat="1" applyFont="1" applyFill="1" applyBorder="1" applyAlignment="1" applyProtection="1">
      <alignment wrapText="1"/>
    </xf>
    <xf numFmtId="2" fontId="24" fillId="0" borderId="3" xfId="2" applyNumberFormat="1" applyFont="1" applyFill="1" applyBorder="1" applyAlignment="1" applyProtection="1"/>
    <xf numFmtId="37" fontId="14" fillId="0" borderId="32" xfId="0" applyFont="1" applyFill="1" applyBorder="1" applyAlignment="1" applyProtection="1">
      <alignment horizontal="center"/>
    </xf>
    <xf numFmtId="49" fontId="2" fillId="0" borderId="3" xfId="0" applyNumberFormat="1" applyFont="1" applyFill="1" applyBorder="1" applyAlignment="1" applyProtection="1">
      <alignment wrapText="1"/>
    </xf>
    <xf numFmtId="37" fontId="25" fillId="0" borderId="4" xfId="0" applyFont="1" applyFill="1" applyBorder="1" applyAlignment="1" applyProtection="1">
      <alignment horizontal="center"/>
    </xf>
    <xf numFmtId="37" fontId="25" fillId="0" borderId="32" xfId="0" applyFont="1" applyFill="1" applyBorder="1" applyAlignment="1" applyProtection="1">
      <alignment horizontal="center"/>
    </xf>
    <xf numFmtId="44" fontId="24" fillId="0" borderId="14" xfId="4" applyFont="1" applyFill="1" applyBorder="1" applyAlignment="1">
      <alignment vertical="center"/>
    </xf>
    <xf numFmtId="2" fontId="14" fillId="0" borderId="3" xfId="2" applyNumberFormat="1" applyFont="1" applyFill="1" applyBorder="1" applyAlignment="1" applyProtection="1"/>
    <xf numFmtId="37" fontId="14" fillId="0" borderId="94" xfId="0" applyNumberFormat="1" applyFont="1" applyFill="1" applyBorder="1" applyAlignment="1" applyProtection="1">
      <alignment horizontal="center"/>
    </xf>
    <xf numFmtId="37" fontId="2" fillId="0" borderId="14" xfId="0" applyNumberFormat="1" applyFont="1" applyFill="1" applyBorder="1" applyAlignment="1" applyProtection="1">
      <alignment horizontal="center"/>
    </xf>
    <xf numFmtId="2" fontId="25" fillId="0" borderId="3" xfId="2" applyNumberFormat="1" applyFont="1" applyFill="1" applyBorder="1" applyAlignment="1" applyProtection="1">
      <alignment horizontal="center"/>
    </xf>
    <xf numFmtId="37" fontId="25" fillId="0" borderId="4" xfId="0" applyNumberFormat="1" applyFont="1" applyFill="1" applyBorder="1" applyAlignment="1" applyProtection="1">
      <alignment horizontal="center"/>
    </xf>
    <xf numFmtId="2" fontId="25" fillId="0" borderId="3" xfId="2" applyNumberFormat="1" applyFont="1" applyFill="1" applyBorder="1" applyAlignment="1" applyProtection="1"/>
    <xf numFmtId="2" fontId="24" fillId="0" borderId="29" xfId="2" applyNumberFormat="1" applyFont="1" applyFill="1" applyBorder="1" applyAlignment="1" applyProtection="1"/>
    <xf numFmtId="37" fontId="24" fillId="0" borderId="15" xfId="0" applyNumberFormat="1" applyFont="1" applyFill="1" applyBorder="1" applyAlignment="1" applyProtection="1">
      <alignment horizontal="center"/>
    </xf>
    <xf numFmtId="37" fontId="24" fillId="0" borderId="35" xfId="0" applyNumberFormat="1" applyFont="1" applyFill="1" applyBorder="1" applyAlignment="1" applyProtection="1">
      <alignment horizontal="center"/>
    </xf>
    <xf numFmtId="49" fontId="2" fillId="0" borderId="92" xfId="0" applyNumberFormat="1" applyFont="1" applyFill="1" applyBorder="1" applyAlignment="1" applyProtection="1">
      <alignment horizontal="center"/>
    </xf>
    <xf numFmtId="37" fontId="24" fillId="0" borderId="98" xfId="0" applyNumberFormat="1" applyFont="1" applyFill="1" applyBorder="1" applyAlignment="1" applyProtection="1">
      <alignment horizontal="center"/>
    </xf>
    <xf numFmtId="2" fontId="24" fillId="0" borderId="91" xfId="2" applyNumberFormat="1" applyFont="1" applyFill="1" applyBorder="1" applyAlignment="1" applyProtection="1"/>
    <xf numFmtId="37" fontId="25" fillId="0" borderId="15" xfId="0" applyNumberFormat="1" applyFont="1" applyFill="1" applyBorder="1" applyAlignment="1" applyProtection="1">
      <alignment horizontal="center"/>
    </xf>
    <xf numFmtId="2" fontId="14" fillId="0" borderId="91" xfId="2" applyNumberFormat="1" applyFont="1" applyFill="1" applyBorder="1" applyAlignment="1" applyProtection="1"/>
    <xf numFmtId="37" fontId="24" fillId="0" borderId="95" xfId="0" applyNumberFormat="1" applyFont="1" applyFill="1" applyBorder="1" applyAlignment="1" applyProtection="1">
      <alignment horizontal="center"/>
    </xf>
    <xf numFmtId="37" fontId="25" fillId="0" borderId="91" xfId="0" applyNumberFormat="1" applyFont="1" applyFill="1" applyBorder="1" applyAlignment="1" applyProtection="1">
      <alignment horizontal="center"/>
    </xf>
    <xf numFmtId="37" fontId="24" fillId="0" borderId="4" xfId="0" applyNumberFormat="1" applyFont="1" applyFill="1" applyBorder="1" applyAlignment="1" applyProtection="1">
      <alignment horizontal="center"/>
    </xf>
    <xf numFmtId="37" fontId="25" fillId="0" borderId="15" xfId="0" applyFont="1" applyFill="1" applyBorder="1" applyAlignment="1" applyProtection="1">
      <alignment horizontal="center"/>
    </xf>
    <xf numFmtId="37" fontId="14" fillId="0" borderId="3" xfId="0" applyNumberFormat="1" applyFont="1" applyFill="1" applyBorder="1" applyAlignment="1" applyProtection="1">
      <alignment wrapText="1"/>
    </xf>
    <xf numFmtId="37" fontId="2" fillId="0" borderId="3" xfId="0" applyFont="1" applyFill="1" applyBorder="1" applyAlignment="1" applyProtection="1">
      <alignment wrapText="1"/>
    </xf>
    <xf numFmtId="37" fontId="2" fillId="0" borderId="91" xfId="0" applyNumberFormat="1" applyFont="1" applyFill="1" applyBorder="1" applyAlignment="1" applyProtection="1">
      <alignment wrapText="1"/>
    </xf>
    <xf numFmtId="37" fontId="2" fillId="0" borderId="97" xfId="0" applyNumberFormat="1" applyFont="1" applyFill="1" applyBorder="1" applyAlignment="1" applyProtection="1">
      <alignment wrapText="1"/>
    </xf>
    <xf numFmtId="37" fontId="25" fillId="0" borderId="91" xfId="0" applyFont="1" applyFill="1" applyBorder="1" applyAlignment="1" applyProtection="1">
      <alignment horizontal="center"/>
    </xf>
    <xf numFmtId="37" fontId="2" fillId="2" borderId="91" xfId="0" applyFont="1" applyBorder="1" applyAlignment="1">
      <alignment horizontal="center"/>
    </xf>
    <xf numFmtId="37" fontId="2" fillId="2" borderId="79" xfId="0" applyFont="1" applyBorder="1" applyAlignment="1">
      <alignment horizontal="center"/>
    </xf>
    <xf numFmtId="37" fontId="2" fillId="2" borderId="93" xfId="0" applyFont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37" fontId="26" fillId="0" borderId="3" xfId="0" applyNumberFormat="1" applyFont="1" applyFill="1" applyBorder="1" applyAlignment="1" applyProtection="1">
      <alignment wrapText="1"/>
    </xf>
    <xf numFmtId="37" fontId="27" fillId="0" borderId="3" xfId="0" applyNumberFormat="1" applyFont="1" applyFill="1" applyBorder="1" applyAlignment="1" applyProtection="1">
      <alignment wrapText="1"/>
    </xf>
    <xf numFmtId="37" fontId="25" fillId="0" borderId="29" xfId="0" applyNumberFormat="1" applyFont="1" applyFill="1" applyBorder="1" applyAlignment="1" applyProtection="1">
      <alignment horizontal="center"/>
    </xf>
    <xf numFmtId="37" fontId="2" fillId="0" borderId="3" xfId="0" applyNumberFormat="1" applyFont="1" applyFill="1" applyBorder="1" applyAlignment="1" applyProtection="1">
      <alignment horizontal="center" wrapText="1"/>
    </xf>
    <xf numFmtId="37" fontId="2" fillId="0" borderId="14" xfId="0" applyNumberFormat="1" applyFont="1" applyFill="1" applyBorder="1" applyAlignment="1" applyProtection="1">
      <alignment horizontal="center" wrapText="1"/>
    </xf>
    <xf numFmtId="49" fontId="2" fillId="0" borderId="3" xfId="0" applyNumberFormat="1" applyFont="1" applyFill="1" applyBorder="1" applyAlignment="1" applyProtection="1">
      <alignment horizontal="center"/>
    </xf>
    <xf numFmtId="37" fontId="2" fillId="0" borderId="14" xfId="0" applyFont="1" applyFill="1" applyBorder="1" applyAlignment="1" applyProtection="1">
      <alignment horizontal="center"/>
    </xf>
    <xf numFmtId="37" fontId="2" fillId="0" borderId="1" xfId="0" applyNumberFormat="1" applyFont="1" applyFill="1" applyBorder="1" applyAlignment="1" applyProtection="1">
      <alignment horizontal="center" wrapText="1"/>
    </xf>
    <xf numFmtId="2" fontId="2" fillId="0" borderId="3" xfId="2" applyNumberFormat="1" applyFont="1" applyFill="1" applyBorder="1"/>
    <xf numFmtId="37" fontId="24" fillId="0" borderId="4" xfId="0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wrapText="1"/>
    </xf>
    <xf numFmtId="2" fontId="24" fillId="0" borderId="3" xfId="2" applyNumberFormat="1" applyFont="1" applyFill="1" applyBorder="1" applyAlignment="1"/>
    <xf numFmtId="37" fontId="2" fillId="0" borderId="1" xfId="0" applyFont="1" applyFill="1" applyBorder="1" applyAlignment="1">
      <alignment horizontal="center"/>
    </xf>
    <xf numFmtId="37" fontId="2" fillId="10" borderId="4" xfId="0" applyFont="1" applyFill="1" applyBorder="1"/>
    <xf numFmtId="37" fontId="2" fillId="10" borderId="14" xfId="0" applyFont="1" applyFill="1" applyBorder="1"/>
    <xf numFmtId="37" fontId="2" fillId="10" borderId="3" xfId="0" applyFont="1" applyFill="1" applyBorder="1"/>
    <xf numFmtId="2" fontId="2" fillId="10" borderId="3" xfId="2" applyNumberFormat="1" applyFont="1" applyFill="1" applyBorder="1"/>
    <xf numFmtId="37" fontId="2" fillId="0" borderId="14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 applyProtection="1">
      <alignment horizontal="center"/>
    </xf>
    <xf numFmtId="37" fontId="14" fillId="10" borderId="4" xfId="0" applyNumberFormat="1" applyFont="1" applyFill="1" applyBorder="1" applyAlignment="1" applyProtection="1">
      <alignment horizontal="center"/>
    </xf>
    <xf numFmtId="37" fontId="14" fillId="10" borderId="14" xfId="0" applyNumberFormat="1" applyFont="1" applyFill="1" applyBorder="1" applyAlignment="1" applyProtection="1">
      <alignment horizontal="center"/>
    </xf>
    <xf numFmtId="37" fontId="14" fillId="10" borderId="3" xfId="0" applyNumberFormat="1" applyFont="1" applyFill="1" applyBorder="1" applyAlignment="1" applyProtection="1">
      <alignment horizontal="center"/>
    </xf>
    <xf numFmtId="2" fontId="14" fillId="10" borderId="3" xfId="2" applyNumberFormat="1" applyFont="1" applyFill="1" applyBorder="1" applyAlignment="1" applyProtection="1">
      <alignment horizontal="center"/>
    </xf>
    <xf numFmtId="37" fontId="14" fillId="0" borderId="3" xfId="0" applyFont="1" applyFill="1" applyBorder="1" applyAlignment="1" applyProtection="1">
      <alignment wrapText="1"/>
    </xf>
    <xf numFmtId="49" fontId="2" fillId="0" borderId="0" xfId="0" applyNumberFormat="1" applyFont="1" applyFill="1" applyBorder="1" applyAlignment="1" applyProtection="1">
      <alignment horizontal="center"/>
    </xf>
    <xf numFmtId="37" fontId="14" fillId="0" borderId="0" xfId="0" applyFont="1" applyFill="1" applyBorder="1" applyAlignment="1" applyProtection="1">
      <alignment wrapText="1"/>
    </xf>
    <xf numFmtId="2" fontId="14" fillId="0" borderId="0" xfId="2" applyNumberFormat="1" applyFont="1" applyFill="1" applyBorder="1" applyAlignment="1" applyProtection="1"/>
    <xf numFmtId="37" fontId="14" fillId="0" borderId="0" xfId="0" applyNumberFormat="1" applyFont="1" applyFill="1" applyBorder="1" applyAlignment="1" applyProtection="1">
      <alignment horizontal="center"/>
    </xf>
    <xf numFmtId="2" fontId="14" fillId="0" borderId="0" xfId="2" applyNumberFormat="1" applyFont="1" applyFill="1" applyBorder="1" applyAlignment="1" applyProtection="1">
      <alignment horizontal="center"/>
    </xf>
    <xf numFmtId="37" fontId="2" fillId="0" borderId="0" xfId="0" applyNumberFormat="1" applyFont="1" applyFill="1" applyAlignment="1">
      <alignment vertical="center" wrapText="1"/>
    </xf>
    <xf numFmtId="37" fontId="14" fillId="0" borderId="0" xfId="0" applyNumberFormat="1" applyFont="1" applyFill="1" applyBorder="1" applyAlignment="1" applyProtection="1">
      <alignment wrapText="1"/>
    </xf>
    <xf numFmtId="2" fontId="2" fillId="0" borderId="0" xfId="2" applyNumberFormat="1" applyFont="1" applyFill="1" applyBorder="1" applyAlignment="1" applyProtection="1">
      <alignment horizontal="center"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2" fontId="2" fillId="0" borderId="0" xfId="2" applyNumberFormat="1" applyFont="1" applyFill="1" applyBorder="1" applyAlignment="1" applyProtection="1">
      <alignment vertical="center"/>
    </xf>
    <xf numFmtId="2" fontId="2" fillId="0" borderId="0" xfId="2" applyNumberFormat="1" applyFont="1" applyFill="1" applyBorder="1" applyAlignment="1">
      <alignment vertical="center"/>
    </xf>
    <xf numFmtId="37" fontId="2" fillId="0" borderId="0" xfId="0" applyNumberFormat="1" applyFont="1" applyFill="1" applyAlignment="1">
      <alignment vertical="center"/>
    </xf>
    <xf numFmtId="37" fontId="3" fillId="0" borderId="0" xfId="0" applyNumberFormat="1" applyFont="1" applyFill="1" applyBorder="1" applyAlignment="1" applyProtection="1">
      <alignment horizontal="center"/>
    </xf>
    <xf numFmtId="37" fontId="2" fillId="0" borderId="0" xfId="0" applyNumberFormat="1" applyFont="1" applyFill="1" applyBorder="1" applyAlignment="1" applyProtection="1">
      <alignment horizontal="center"/>
    </xf>
    <xf numFmtId="2" fontId="2" fillId="0" borderId="0" xfId="2" applyNumberFormat="1" applyFont="1" applyFill="1" applyBorder="1" applyProtection="1"/>
    <xf numFmtId="37" fontId="2" fillId="0" borderId="0" xfId="0" applyNumberFormat="1" applyFont="1" applyFill="1" applyAlignment="1">
      <alignment wrapText="1"/>
    </xf>
    <xf numFmtId="2" fontId="2" fillId="0" borderId="0" xfId="2" applyNumberFormat="1" applyFont="1" applyFill="1" applyBorder="1"/>
    <xf numFmtId="37" fontId="25" fillId="0" borderId="21" xfId="0" applyNumberFormat="1" applyFont="1" applyFill="1" applyBorder="1" applyAlignment="1" applyProtection="1">
      <alignment wrapText="1"/>
    </xf>
    <xf numFmtId="37" fontId="24" fillId="0" borderId="29" xfId="0" applyNumberFormat="1" applyFont="1" applyFill="1" applyBorder="1" applyAlignment="1" applyProtection="1">
      <alignment horizontal="center"/>
    </xf>
    <xf numFmtId="37" fontId="2" fillId="0" borderId="3" xfId="0" applyNumberFormat="1" applyFont="1" applyFill="1" applyBorder="1" applyAlignment="1" applyProtection="1">
      <alignment horizontal="left" wrapText="1"/>
    </xf>
    <xf numFmtId="0" fontId="2" fillId="0" borderId="14" xfId="0" applyNumberFormat="1" applyFont="1" applyFill="1" applyBorder="1" applyAlignment="1" applyProtection="1">
      <alignment horizontal="center"/>
    </xf>
    <xf numFmtId="37" fontId="25" fillId="0" borderId="3" xfId="0" applyNumberFormat="1" applyFont="1" applyFill="1" applyBorder="1" applyAlignment="1" applyProtection="1">
      <alignment wrapText="1"/>
    </xf>
    <xf numFmtId="2" fontId="24" fillId="0" borderId="3" xfId="2" applyNumberFormat="1" applyFont="1" applyFill="1" applyBorder="1" applyAlignment="1" applyProtection="1">
      <alignment horizontal="right" vertical="center"/>
    </xf>
    <xf numFmtId="37" fontId="2" fillId="0" borderId="32" xfId="0" applyNumberFormat="1" applyFont="1" applyFill="1" applyBorder="1" applyAlignment="1" applyProtection="1">
      <alignment horizontal="center" vertical="center"/>
    </xf>
    <xf numFmtId="37" fontId="24" fillId="0" borderId="0" xfId="0" applyFont="1" applyFill="1"/>
    <xf numFmtId="49" fontId="2" fillId="0" borderId="19" xfId="0" applyNumberFormat="1" applyFont="1" applyFill="1" applyBorder="1" applyAlignment="1" applyProtection="1">
      <alignment horizontal="center"/>
    </xf>
    <xf numFmtId="37" fontId="25" fillId="0" borderId="24" xfId="0" applyNumberFormat="1" applyFont="1" applyFill="1" applyBorder="1" applyAlignment="1" applyProtection="1">
      <alignment wrapText="1"/>
    </xf>
    <xf numFmtId="37" fontId="2" fillId="0" borderId="10" xfId="0" applyNumberFormat="1" applyFont="1" applyFill="1" applyBorder="1" applyAlignment="1" applyProtection="1">
      <alignment horizontal="center" vertical="center"/>
    </xf>
    <xf numFmtId="2" fontId="2" fillId="0" borderId="17" xfId="2" applyNumberFormat="1" applyFont="1" applyFill="1" applyBorder="1" applyAlignment="1" applyProtection="1">
      <alignment horizontal="center" vertical="center"/>
    </xf>
    <xf numFmtId="37" fontId="25" fillId="2" borderId="3" xfId="0" applyNumberFormat="1" applyFont="1" applyBorder="1" applyAlignment="1" applyProtection="1">
      <alignment wrapText="1"/>
    </xf>
    <xf numFmtId="37" fontId="2" fillId="12" borderId="4" xfId="0" applyFont="1" applyFill="1" applyBorder="1"/>
    <xf numFmtId="37" fontId="2" fillId="12" borderId="42" xfId="0" applyFont="1" applyFill="1" applyBorder="1"/>
    <xf numFmtId="37" fontId="2" fillId="0" borderId="42" xfId="0" applyNumberFormat="1" applyFont="1" applyFill="1" applyBorder="1"/>
    <xf numFmtId="37" fontId="24" fillId="12" borderId="0" xfId="0" applyNumberFormat="1" applyFont="1" applyFill="1" applyBorder="1" applyAlignment="1" applyProtection="1">
      <alignment horizontal="center"/>
    </xf>
    <xf numFmtId="2" fontId="24" fillId="12" borderId="0" xfId="2" applyNumberFormat="1" applyFont="1" applyFill="1" applyBorder="1" applyAlignment="1" applyProtection="1"/>
    <xf numFmtId="0" fontId="2" fillId="0" borderId="53" xfId="0" applyNumberFormat="1" applyFont="1" applyFill="1" applyBorder="1" applyAlignment="1" applyProtection="1">
      <alignment horizontal="center"/>
    </xf>
    <xf numFmtId="37" fontId="25" fillId="2" borderId="21" xfId="0" applyNumberFormat="1" applyFont="1" applyBorder="1" applyAlignment="1" applyProtection="1">
      <alignment wrapText="1"/>
    </xf>
    <xf numFmtId="2" fontId="24" fillId="0" borderId="21" xfId="2" applyNumberFormat="1" applyFont="1" applyFill="1" applyBorder="1" applyAlignment="1" applyProtection="1">
      <alignment horizontal="right" vertical="center"/>
    </xf>
    <xf numFmtId="37" fontId="2" fillId="12" borderId="0" xfId="0" applyNumberFormat="1" applyFont="1" applyFill="1" applyBorder="1" applyAlignment="1" applyProtection="1">
      <alignment horizontal="center" vertical="center"/>
    </xf>
    <xf numFmtId="2" fontId="2" fillId="12" borderId="0" xfId="0" applyNumberFormat="1" applyFont="1" applyFill="1" applyBorder="1" applyAlignment="1" applyProtection="1">
      <alignment vertical="center"/>
    </xf>
    <xf numFmtId="37" fontId="2" fillId="12" borderId="0" xfId="0" applyNumberFormat="1" applyFont="1" applyFill="1" applyBorder="1" applyAlignment="1">
      <alignment vertical="center" wrapText="1"/>
    </xf>
    <xf numFmtId="2" fontId="2" fillId="12" borderId="0" xfId="0" applyNumberFormat="1" applyFont="1" applyFill="1" applyBorder="1" applyAlignment="1">
      <alignment vertical="center"/>
    </xf>
    <xf numFmtId="37" fontId="2" fillId="12" borderId="0" xfId="0" applyNumberFormat="1" applyFont="1" applyFill="1" applyBorder="1" applyAlignment="1">
      <alignment vertical="center"/>
    </xf>
    <xf numFmtId="37" fontId="25" fillId="2" borderId="24" xfId="0" applyNumberFormat="1" applyFont="1" applyBorder="1" applyAlignment="1" applyProtection="1">
      <alignment wrapText="1"/>
    </xf>
    <xf numFmtId="37" fontId="2" fillId="12" borderId="10" xfId="0" applyNumberFormat="1" applyFont="1" applyFill="1" applyBorder="1" applyAlignment="1" applyProtection="1">
      <alignment horizontal="center" vertical="center"/>
    </xf>
    <xf numFmtId="37" fontId="2" fillId="12" borderId="0" xfId="0" applyNumberFormat="1" applyFont="1" applyFill="1" applyAlignment="1">
      <alignment vertical="center" wrapText="1"/>
    </xf>
    <xf numFmtId="37" fontId="3" fillId="10" borderId="3" xfId="0" applyNumberFormat="1" applyFont="1" applyFill="1" applyBorder="1" applyAlignment="1" applyProtection="1">
      <alignment horizontal="center"/>
    </xf>
    <xf numFmtId="37" fontId="14" fillId="10" borderId="3" xfId="0" applyNumberFormat="1" applyFont="1" applyFill="1" applyBorder="1" applyAlignment="1" applyProtection="1">
      <alignment wrapText="1"/>
    </xf>
    <xf numFmtId="2" fontId="2" fillId="10" borderId="17" xfId="0" applyNumberFormat="1" applyFont="1" applyFill="1" applyBorder="1" applyAlignment="1" applyProtection="1">
      <alignment horizontal="center"/>
    </xf>
    <xf numFmtId="37" fontId="2" fillId="12" borderId="0" xfId="0" applyNumberFormat="1" applyFont="1" applyFill="1" applyBorder="1" applyAlignment="1" applyProtection="1">
      <alignment horizontal="center"/>
    </xf>
    <xf numFmtId="2" fontId="2" fillId="12" borderId="0" xfId="0" applyNumberFormat="1" applyFont="1" applyFill="1" applyBorder="1" applyProtection="1"/>
    <xf numFmtId="37" fontId="2" fillId="12" borderId="0" xfId="0" applyNumberFormat="1" applyFont="1" applyFill="1" applyBorder="1"/>
    <xf numFmtId="2" fontId="2" fillId="12" borderId="0" xfId="0" applyNumberFormat="1" applyFont="1" applyFill="1" applyAlignment="1">
      <alignment horizontal="right"/>
    </xf>
    <xf numFmtId="164" fontId="2" fillId="12" borderId="0" xfId="0" applyNumberFormat="1" applyFont="1" applyFill="1" applyBorder="1"/>
    <xf numFmtId="2" fontId="2" fillId="12" borderId="0" xfId="0" applyNumberFormat="1" applyFont="1" applyFill="1" applyBorder="1" applyAlignment="1" applyProtection="1">
      <alignment horizontal="center"/>
    </xf>
    <xf numFmtId="37" fontId="2" fillId="12" borderId="0" xfId="0" applyNumberFormat="1" applyFont="1" applyFill="1" applyBorder="1" applyProtection="1"/>
    <xf numFmtId="2" fontId="3" fillId="2" borderId="49" xfId="0" applyNumberFormat="1" applyFont="1" applyBorder="1" applyAlignment="1">
      <alignment horizontal="center"/>
    </xf>
    <xf numFmtId="0" fontId="3" fillId="2" borderId="50" xfId="0" applyNumberFormat="1" applyFont="1" applyBorder="1" applyAlignment="1">
      <alignment horizontal="center"/>
    </xf>
    <xf numFmtId="2" fontId="3" fillId="2" borderId="25" xfId="0" applyNumberFormat="1" applyFont="1" applyBorder="1" applyAlignment="1">
      <alignment horizontal="center"/>
    </xf>
    <xf numFmtId="37" fontId="3" fillId="2" borderId="25" xfId="0" applyNumberFormat="1" applyFont="1" applyBorder="1" applyAlignment="1">
      <alignment horizontal="center"/>
    </xf>
    <xf numFmtId="0" fontId="2" fillId="8" borderId="9" xfId="0" applyNumberFormat="1" applyFont="1" applyFill="1" applyBorder="1" applyAlignment="1"/>
    <xf numFmtId="37" fontId="2" fillId="8" borderId="40" xfId="0" applyNumberFormat="1" applyFont="1" applyFill="1" applyBorder="1" applyAlignment="1"/>
    <xf numFmtId="0" fontId="2" fillId="8" borderId="34" xfId="0" applyNumberFormat="1" applyFont="1" applyFill="1" applyBorder="1" applyAlignment="1"/>
    <xf numFmtId="0" fontId="2" fillId="8" borderId="77" xfId="0" applyNumberFormat="1" applyFont="1" applyFill="1" applyBorder="1" applyAlignment="1"/>
    <xf numFmtId="37" fontId="2" fillId="0" borderId="0" xfId="0" applyNumberFormat="1" applyFont="1" applyFill="1" applyBorder="1" applyAlignment="1"/>
    <xf numFmtId="37" fontId="2" fillId="0" borderId="21" xfId="0" applyFont="1" applyFill="1" applyBorder="1"/>
    <xf numFmtId="2" fontId="2" fillId="0" borderId="56" xfId="2" applyNumberFormat="1" applyFont="1" applyFill="1" applyBorder="1"/>
    <xf numFmtId="2" fontId="2" fillId="0" borderId="3" xfId="0" applyNumberFormat="1" applyFont="1" applyFill="1" applyBorder="1" applyAlignment="1">
      <alignment vertical="center"/>
    </xf>
    <xf numFmtId="2" fontId="2" fillId="0" borderId="15" xfId="0" applyNumberFormat="1" applyFont="1" applyFill="1" applyBorder="1" applyAlignment="1">
      <alignment vertical="center"/>
    </xf>
    <xf numFmtId="39" fontId="2" fillId="12" borderId="0" xfId="0" applyNumberFormat="1" applyFont="1" applyFill="1"/>
    <xf numFmtId="37" fontId="2" fillId="0" borderId="3" xfId="0" applyFont="1" applyFill="1" applyBorder="1"/>
    <xf numFmtId="2" fontId="2" fillId="0" borderId="1" xfId="2" applyNumberFormat="1" applyFont="1" applyFill="1" applyBorder="1"/>
    <xf numFmtId="37" fontId="2" fillId="12" borderId="0" xfId="0" applyFont="1" applyFill="1" applyBorder="1"/>
    <xf numFmtId="39" fontId="2" fillId="12" borderId="0" xfId="0" applyNumberFormat="1" applyFont="1" applyFill="1" applyBorder="1"/>
    <xf numFmtId="37" fontId="2" fillId="0" borderId="24" xfId="0" applyFont="1" applyFill="1" applyBorder="1"/>
    <xf numFmtId="2" fontId="2" fillId="0" borderId="5" xfId="2" applyNumberFormat="1" applyFont="1" applyFill="1" applyBorder="1"/>
    <xf numFmtId="2" fontId="29" fillId="12" borderId="0" xfId="0" applyNumberFormat="1" applyFont="1" applyFill="1" applyBorder="1" applyAlignment="1">
      <alignment vertical="center"/>
    </xf>
    <xf numFmtId="0" fontId="2" fillId="8" borderId="22" xfId="0" applyNumberFormat="1" applyFont="1" applyFill="1" applyBorder="1" applyAlignment="1"/>
    <xf numFmtId="37" fontId="2" fillId="8" borderId="23" xfId="0" applyNumberFormat="1" applyFont="1" applyFill="1" applyBorder="1" applyAlignment="1"/>
    <xf numFmtId="0" fontId="2" fillId="8" borderId="23" xfId="0" applyNumberFormat="1" applyFont="1" applyFill="1" applyBorder="1" applyAlignment="1"/>
    <xf numFmtId="0" fontId="2" fillId="8" borderId="78" xfId="0" applyNumberFormat="1" applyFont="1" applyFill="1" applyBorder="1" applyAlignment="1"/>
    <xf numFmtId="0" fontId="2" fillId="3" borderId="0" xfId="0" applyNumberFormat="1" applyFont="1" applyFill="1" applyBorder="1"/>
    <xf numFmtId="2" fontId="2" fillId="0" borderId="12" xfId="2" applyNumberFormat="1" applyFont="1" applyFill="1" applyBorder="1"/>
    <xf numFmtId="2" fontId="2" fillId="4" borderId="33" xfId="2" applyNumberFormat="1" applyFont="1" applyFill="1" applyBorder="1"/>
    <xf numFmtId="2" fontId="2" fillId="0" borderId="11" xfId="2" applyNumberFormat="1" applyFont="1" applyFill="1" applyBorder="1"/>
    <xf numFmtId="2" fontId="2" fillId="0" borderId="14" xfId="2" applyNumberFormat="1" applyFont="1" applyFill="1" applyBorder="1"/>
    <xf numFmtId="2" fontId="2" fillId="0" borderId="37" xfId="2" applyNumberFormat="1" applyFont="1" applyFill="1" applyBorder="1"/>
    <xf numFmtId="2" fontId="2" fillId="4" borderId="0" xfId="2" applyNumberFormat="1" applyFont="1" applyFill="1" applyBorder="1"/>
    <xf numFmtId="0" fontId="2" fillId="8" borderId="31" xfId="0" applyNumberFormat="1" applyFont="1" applyFill="1" applyBorder="1" applyAlignment="1"/>
    <xf numFmtId="0" fontId="2" fillId="8" borderId="41" xfId="0" applyNumberFormat="1" applyFont="1" applyFill="1" applyBorder="1" applyAlignment="1"/>
    <xf numFmtId="2" fontId="2" fillId="0" borderId="67" xfId="2" applyNumberFormat="1" applyFont="1" applyFill="1" applyBorder="1"/>
    <xf numFmtId="2" fontId="2" fillId="0" borderId="28" xfId="2" applyNumberFormat="1" applyFont="1" applyFill="1" applyBorder="1"/>
    <xf numFmtId="0" fontId="2" fillId="12" borderId="0" xfId="0" applyNumberFormat="1" applyFont="1" applyFill="1" applyBorder="1"/>
    <xf numFmtId="2" fontId="2" fillId="0" borderId="24" xfId="2" applyNumberFormat="1" applyFont="1" applyFill="1" applyBorder="1"/>
    <xf numFmtId="2" fontId="2" fillId="4" borderId="25" xfId="0" applyNumberFormat="1" applyFont="1" applyFill="1" applyBorder="1"/>
    <xf numFmtId="2" fontId="2" fillId="0" borderId="40" xfId="2" applyNumberFormat="1" applyFont="1" applyFill="1" applyBorder="1"/>
    <xf numFmtId="2" fontId="2" fillId="4" borderId="18" xfId="2" applyNumberFormat="1" applyFont="1" applyFill="1" applyBorder="1"/>
    <xf numFmtId="2" fontId="2" fillId="4" borderId="54" xfId="2" applyNumberFormat="1" applyFont="1" applyFill="1" applyBorder="1"/>
    <xf numFmtId="2" fontId="2" fillId="4" borderId="55" xfId="0" applyNumberFormat="1" applyFont="1" applyFill="1" applyBorder="1"/>
    <xf numFmtId="2" fontId="2" fillId="0" borderId="52" xfId="2" applyNumberFormat="1" applyFont="1" applyFill="1" applyBorder="1"/>
    <xf numFmtId="2" fontId="2" fillId="0" borderId="51" xfId="2" applyNumberFormat="1" applyFont="1" applyFill="1" applyBorder="1"/>
    <xf numFmtId="2" fontId="2" fillId="0" borderId="31" xfId="2" applyNumberFormat="1" applyFont="1" applyFill="1" applyBorder="1"/>
    <xf numFmtId="2" fontId="2" fillId="0" borderId="54" xfId="2" applyNumberFormat="1" applyFont="1" applyFill="1" applyBorder="1"/>
    <xf numFmtId="2" fontId="2" fillId="6" borderId="65" xfId="2" applyNumberFormat="1" applyFont="1" applyFill="1" applyBorder="1" applyProtection="1">
      <protection locked="0"/>
    </xf>
    <xf numFmtId="2" fontId="2" fillId="0" borderId="38" xfId="2" applyNumberFormat="1" applyFont="1" applyFill="1" applyBorder="1"/>
    <xf numFmtId="2" fontId="2" fillId="0" borderId="29" xfId="2" applyNumberFormat="1" applyFont="1" applyFill="1" applyBorder="1"/>
    <xf numFmtId="2" fontId="2" fillId="4" borderId="25" xfId="2" applyNumberFormat="1" applyFont="1" applyFill="1" applyBorder="1"/>
    <xf numFmtId="2" fontId="2" fillId="6" borderId="42" xfId="2" applyNumberFormat="1" applyFont="1" applyFill="1" applyBorder="1" applyProtection="1">
      <protection locked="0"/>
    </xf>
    <xf numFmtId="2" fontId="2" fillId="0" borderId="42" xfId="2" applyNumberFormat="1" applyFont="1" applyFill="1" applyBorder="1"/>
    <xf numFmtId="2" fontId="2" fillId="4" borderId="55" xfId="2" applyNumberFormat="1" applyFont="1" applyFill="1" applyBorder="1"/>
    <xf numFmtId="2" fontId="2" fillId="0" borderId="55" xfId="2" applyNumberFormat="1" applyFont="1" applyFill="1" applyBorder="1"/>
    <xf numFmtId="2" fontId="2" fillId="6" borderId="37" xfId="2" applyNumberFormat="1" applyFont="1" applyFill="1" applyBorder="1" applyProtection="1">
      <protection locked="0"/>
    </xf>
    <xf numFmtId="2" fontId="2" fillId="4" borderId="54" xfId="0" applyNumberFormat="1" applyFont="1" applyFill="1" applyBorder="1"/>
    <xf numFmtId="2" fontId="30" fillId="0" borderId="40" xfId="2" applyNumberFormat="1" applyFont="1" applyFill="1" applyBorder="1"/>
    <xf numFmtId="2" fontId="30" fillId="0" borderId="54" xfId="2" applyNumberFormat="1" applyFont="1" applyFill="1" applyBorder="1"/>
    <xf numFmtId="2" fontId="30" fillId="0" borderId="9" xfId="2" applyNumberFormat="1" applyFont="1" applyFill="1" applyBorder="1"/>
    <xf numFmtId="2" fontId="30" fillId="2" borderId="18" xfId="2" applyNumberFormat="1" applyFont="1" applyFill="1" applyBorder="1"/>
    <xf numFmtId="0" fontId="2" fillId="2" borderId="0" xfId="0" applyNumberFormat="1" applyFont="1"/>
    <xf numFmtId="37" fontId="2" fillId="2" borderId="0" xfId="0" applyFont="1" applyAlignment="1">
      <alignment wrapText="1"/>
    </xf>
    <xf numFmtId="2" fontId="2" fillId="2" borderId="0" xfId="0" applyNumberFormat="1" applyFont="1" applyBorder="1"/>
    <xf numFmtId="37" fontId="2" fillId="2" borderId="33" xfId="0" applyFont="1" applyBorder="1"/>
    <xf numFmtId="37" fontId="2" fillId="2" borderId="13" xfId="0" applyNumberFormat="1" applyFont="1" applyBorder="1" applyAlignment="1">
      <alignment horizontal="center"/>
    </xf>
    <xf numFmtId="37" fontId="3" fillId="2" borderId="35" xfId="0" applyFont="1" applyBorder="1" applyAlignment="1">
      <alignment horizontal="center"/>
    </xf>
    <xf numFmtId="37" fontId="3" fillId="2" borderId="15" xfId="0" applyFont="1" applyBorder="1" applyAlignment="1">
      <alignment horizontal="center"/>
    </xf>
    <xf numFmtId="37" fontId="3" fillId="2" borderId="36" xfId="0" applyFont="1" applyBorder="1" applyAlignment="1">
      <alignment horizontal="center"/>
    </xf>
    <xf numFmtId="2" fontId="2" fillId="2" borderId="34" xfId="0" applyNumberFormat="1" applyFont="1" applyBorder="1"/>
    <xf numFmtId="37" fontId="31" fillId="2" borderId="62" xfId="0" applyNumberFormat="1" applyFont="1" applyBorder="1" applyAlignment="1" applyProtection="1">
      <alignment horizontal="center" wrapText="1"/>
    </xf>
    <xf numFmtId="39" fontId="31" fillId="2" borderId="57" xfId="0" applyNumberFormat="1" applyFont="1" applyBorder="1" applyAlignment="1" applyProtection="1">
      <alignment horizontal="center" wrapText="1"/>
    </xf>
    <xf numFmtId="39" fontId="31" fillId="2" borderId="0" xfId="0" applyNumberFormat="1" applyFont="1" applyBorder="1" applyAlignment="1" applyProtection="1">
      <alignment horizontal="center" wrapText="1"/>
    </xf>
    <xf numFmtId="37" fontId="31" fillId="2" borderId="0" xfId="0" applyNumberFormat="1" applyFont="1" applyAlignment="1">
      <alignment horizontal="center"/>
    </xf>
    <xf numFmtId="37" fontId="31" fillId="14" borderId="22" xfId="0" applyNumberFormat="1" applyFont="1" applyFill="1" applyBorder="1" applyAlignment="1" applyProtection="1">
      <alignment horizontal="center" vertical="center"/>
    </xf>
    <xf numFmtId="37" fontId="2" fillId="2" borderId="0" xfId="0" applyFont="1" applyBorder="1"/>
    <xf numFmtId="37" fontId="31" fillId="14" borderId="23" xfId="0" applyNumberFormat="1" applyFont="1" applyFill="1" applyBorder="1" applyAlignment="1" applyProtection="1">
      <alignment horizontal="center" vertical="center"/>
    </xf>
    <xf numFmtId="37" fontId="31" fillId="14" borderId="41" xfId="0" applyNumberFormat="1" applyFont="1" applyFill="1" applyBorder="1" applyAlignment="1" applyProtection="1">
      <alignment horizontal="center" vertical="center"/>
    </xf>
    <xf numFmtId="37" fontId="2" fillId="0" borderId="0" xfId="0" applyNumberFormat="1" applyFont="1" applyFill="1" applyBorder="1" applyAlignment="1" applyProtection="1">
      <alignment vertical="center"/>
    </xf>
    <xf numFmtId="37" fontId="32" fillId="2" borderId="53" xfId="0" applyNumberFormat="1" applyFont="1" applyBorder="1" applyProtection="1"/>
    <xf numFmtId="37" fontId="32" fillId="15" borderId="21" xfId="0" applyNumberFormat="1" applyFont="1" applyFill="1" applyBorder="1" applyProtection="1"/>
    <xf numFmtId="39" fontId="32" fillId="16" borderId="83" xfId="0" applyNumberFormat="1" applyFont="1" applyFill="1" applyBorder="1" applyProtection="1">
      <protection locked="0"/>
    </xf>
    <xf numFmtId="37" fontId="32" fillId="2" borderId="0" xfId="0" applyNumberFormat="1" applyFont="1"/>
    <xf numFmtId="37" fontId="32" fillId="2" borderId="14" xfId="0" applyNumberFormat="1" applyFont="1" applyBorder="1" applyProtection="1"/>
    <xf numFmtId="37" fontId="32" fillId="15" borderId="3" xfId="0" applyNumberFormat="1" applyFont="1" applyFill="1" applyBorder="1" applyProtection="1"/>
    <xf numFmtId="39" fontId="32" fillId="16" borderId="80" xfId="0" applyNumberFormat="1" applyFont="1" applyFill="1" applyBorder="1" applyProtection="1">
      <protection locked="0"/>
    </xf>
    <xf numFmtId="37" fontId="32" fillId="2" borderId="19" xfId="0" applyNumberFormat="1" applyFont="1" applyBorder="1" applyProtection="1"/>
    <xf numFmtId="37" fontId="32" fillId="15" borderId="5" xfId="0" applyNumberFormat="1" applyFont="1" applyFill="1" applyBorder="1" applyProtection="1"/>
    <xf numFmtId="37" fontId="32" fillId="15" borderId="0" xfId="0" applyNumberFormat="1" applyFont="1" applyFill="1" applyBorder="1" applyProtection="1"/>
    <xf numFmtId="37" fontId="31" fillId="12" borderId="0" xfId="0" applyNumberFormat="1" applyFont="1" applyFill="1" applyBorder="1" applyAlignment="1" applyProtection="1">
      <alignment horizontal="center" vertical="center"/>
    </xf>
    <xf numFmtId="37" fontId="2" fillId="12" borderId="0" xfId="0" applyNumberFormat="1" applyFont="1" applyFill="1" applyBorder="1" applyAlignment="1" applyProtection="1">
      <alignment vertical="center"/>
    </xf>
    <xf numFmtId="39" fontId="33" fillId="2" borderId="30" xfId="0" applyNumberFormat="1" applyFont="1" applyBorder="1" applyAlignment="1" applyProtection="1">
      <alignment horizontal="right" vertical="center"/>
    </xf>
    <xf numFmtId="39" fontId="32" fillId="16" borderId="75" xfId="0" applyNumberFormat="1" applyFont="1" applyFill="1" applyBorder="1" applyAlignment="1" applyProtection="1">
      <alignment horizontal="right"/>
      <protection locked="0"/>
    </xf>
    <xf numFmtId="37" fontId="32" fillId="2" borderId="0" xfId="0" applyNumberFormat="1" applyFont="1" applyBorder="1" applyAlignment="1">
      <alignment horizontal="center" vertical="center" wrapText="1"/>
    </xf>
    <xf numFmtId="39" fontId="33" fillId="2" borderId="24" xfId="0" applyNumberFormat="1" applyFont="1" applyBorder="1" applyAlignment="1" applyProtection="1">
      <alignment horizontal="right" vertical="center"/>
    </xf>
    <xf numFmtId="39" fontId="32" fillId="16" borderId="15" xfId="0" applyNumberFormat="1" applyFont="1" applyFill="1" applyBorder="1" applyAlignment="1" applyProtection="1">
      <alignment horizontal="right"/>
      <protection locked="0"/>
    </xf>
    <xf numFmtId="37" fontId="31" fillId="2" borderId="0" xfId="0" applyNumberFormat="1" applyFont="1" applyAlignment="1">
      <alignment horizontal="center" wrapText="1"/>
    </xf>
    <xf numFmtId="39" fontId="34" fillId="2" borderId="24" xfId="0" applyNumberFormat="1" applyFont="1" applyBorder="1" applyAlignment="1" applyProtection="1">
      <alignment horizontal="right" vertical="center"/>
    </xf>
    <xf numFmtId="39" fontId="34" fillId="2" borderId="3" xfId="0" applyNumberFormat="1" applyFont="1" applyBorder="1" applyAlignment="1" applyProtection="1">
      <alignment horizontal="right"/>
    </xf>
    <xf numFmtId="39" fontId="32" fillId="16" borderId="15" xfId="0" applyNumberFormat="1" applyFont="1" applyFill="1" applyBorder="1" applyProtection="1">
      <protection locked="0"/>
    </xf>
    <xf numFmtId="37" fontId="34" fillId="2" borderId="3" xfId="0" applyNumberFormat="1" applyFont="1" applyBorder="1" applyAlignment="1" applyProtection="1">
      <alignment horizontal="right"/>
    </xf>
    <xf numFmtId="39" fontId="32" fillId="16" borderId="35" xfId="0" applyNumberFormat="1" applyFont="1" applyFill="1" applyBorder="1" applyProtection="1">
      <protection locked="0"/>
    </xf>
    <xf numFmtId="39" fontId="32" fillId="11" borderId="24" xfId="0" applyNumberFormat="1" applyFont="1" applyFill="1" applyBorder="1" applyProtection="1"/>
    <xf numFmtId="39" fontId="32" fillId="11" borderId="35" xfId="0" applyNumberFormat="1" applyFont="1" applyFill="1" applyBorder="1" applyProtection="1">
      <protection locked="0"/>
    </xf>
    <xf numFmtId="37" fontId="31" fillId="2" borderId="21" xfId="0" applyNumberFormat="1" applyFont="1" applyBorder="1" applyAlignment="1" applyProtection="1">
      <alignment horizontal="center"/>
    </xf>
    <xf numFmtId="39" fontId="31" fillId="2" borderId="75" xfId="0" applyNumberFormat="1" applyFont="1" applyBorder="1" applyAlignment="1" applyProtection="1">
      <alignment horizontal="center"/>
    </xf>
    <xf numFmtId="166" fontId="32" fillId="2" borderId="3" xfId="0" applyNumberFormat="1" applyFont="1" applyBorder="1" applyProtection="1"/>
    <xf numFmtId="166" fontId="32" fillId="2" borderId="15" xfId="0" applyNumberFormat="1" applyFont="1" applyBorder="1" applyProtection="1"/>
    <xf numFmtId="166" fontId="32" fillId="2" borderId="84" xfId="0" applyNumberFormat="1" applyFont="1" applyBorder="1" applyProtection="1"/>
    <xf numFmtId="166" fontId="32" fillId="2" borderId="48" xfId="0" applyNumberFormat="1" applyFont="1" applyBorder="1" applyProtection="1"/>
    <xf numFmtId="37" fontId="2" fillId="2" borderId="0" xfId="0" applyNumberFormat="1" applyFont="1" applyProtection="1"/>
    <xf numFmtId="39" fontId="2" fillId="2" borderId="0" xfId="0" applyNumberFormat="1" applyFont="1" applyProtection="1"/>
    <xf numFmtId="39" fontId="2" fillId="12" borderId="0" xfId="0" applyNumberFormat="1" applyFont="1" applyFill="1" applyProtection="1"/>
    <xf numFmtId="37" fontId="35" fillId="12" borderId="0" xfId="0" applyNumberFormat="1" applyFont="1" applyFill="1" applyAlignment="1" applyProtection="1">
      <alignment wrapText="1"/>
    </xf>
    <xf numFmtId="37" fontId="35" fillId="2" borderId="0" xfId="0" applyNumberFormat="1" applyFont="1" applyProtection="1"/>
    <xf numFmtId="37" fontId="2" fillId="0" borderId="101" xfId="0" applyFont="1" applyFill="1" applyBorder="1" applyAlignment="1">
      <alignment horizontal="left" wrapText="1"/>
    </xf>
    <xf numFmtId="37" fontId="2" fillId="0" borderId="101" xfId="0" applyFont="1" applyFill="1" applyBorder="1" applyAlignment="1">
      <alignment wrapText="1"/>
    </xf>
    <xf numFmtId="37" fontId="2" fillId="0" borderId="102" xfId="0" applyFont="1" applyFill="1" applyBorder="1" applyAlignment="1">
      <alignment horizontal="center"/>
    </xf>
    <xf numFmtId="167" fontId="2" fillId="0" borderId="101" xfId="0" applyNumberFormat="1" applyFont="1" applyFill="1" applyBorder="1" applyAlignment="1">
      <alignment wrapText="1"/>
    </xf>
    <xf numFmtId="37" fontId="2" fillId="0" borderId="101" xfId="0" applyNumberFormat="1" applyFont="1" applyFill="1" applyBorder="1" applyAlignment="1" applyProtection="1">
      <alignment wrapText="1"/>
    </xf>
    <xf numFmtId="37" fontId="2" fillId="2" borderId="101" xfId="0" applyFont="1" applyBorder="1" applyAlignment="1">
      <alignment wrapText="1"/>
    </xf>
    <xf numFmtId="37" fontId="14" fillId="0" borderId="101" xfId="0" applyNumberFormat="1" applyFont="1" applyFill="1" applyBorder="1" applyAlignment="1" applyProtection="1">
      <alignment wrapText="1"/>
    </xf>
    <xf numFmtId="37" fontId="2" fillId="0" borderId="101" xfId="0" applyFont="1" applyFill="1" applyBorder="1" applyAlignment="1" applyProtection="1">
      <alignment wrapText="1"/>
    </xf>
    <xf numFmtId="37" fontId="2" fillId="0" borderId="101" xfId="0" applyFont="1" applyFill="1" applyBorder="1" applyAlignment="1">
      <alignment horizontal="left" vertical="center" wrapText="1"/>
    </xf>
    <xf numFmtId="37" fontId="26" fillId="0" borderId="101" xfId="0" applyNumberFormat="1" applyFont="1" applyFill="1" applyBorder="1" applyAlignment="1" applyProtection="1">
      <alignment wrapText="1"/>
    </xf>
    <xf numFmtId="49" fontId="2" fillId="0" borderId="102" xfId="0" applyNumberFormat="1" applyFont="1" applyFill="1" applyBorder="1" applyAlignment="1" applyProtection="1">
      <alignment horizontal="center"/>
    </xf>
    <xf numFmtId="165" fontId="36" fillId="0" borderId="102" xfId="2" applyNumberFormat="1" applyFont="1" applyFill="1" applyBorder="1" applyAlignment="1" applyProtection="1">
      <alignment horizontal="center"/>
    </xf>
    <xf numFmtId="165" fontId="2" fillId="0" borderId="102" xfId="2" applyNumberFormat="1" applyFont="1" applyFill="1" applyBorder="1" applyAlignment="1">
      <alignment horizontal="center"/>
    </xf>
    <xf numFmtId="165" fontId="2" fillId="0" borderId="102" xfId="2" applyNumberFormat="1" applyFont="1" applyFill="1" applyBorder="1" applyAlignment="1" applyProtection="1">
      <alignment horizontal="center"/>
    </xf>
    <xf numFmtId="167" fontId="2" fillId="0" borderId="102" xfId="2" applyNumberFormat="1" applyFont="1" applyFill="1" applyBorder="1" applyAlignment="1" applyProtection="1">
      <alignment horizontal="center"/>
    </xf>
    <xf numFmtId="37" fontId="2" fillId="0" borderId="102" xfId="0" applyFont="1" applyFill="1" applyBorder="1" applyAlignment="1">
      <alignment horizontal="center" wrapText="1"/>
    </xf>
    <xf numFmtId="167" fontId="2" fillId="0" borderId="102" xfId="0" applyNumberFormat="1" applyFont="1" applyFill="1" applyBorder="1" applyAlignment="1">
      <alignment horizontal="center"/>
    </xf>
    <xf numFmtId="37" fontId="2" fillId="2" borderId="102" xfId="0" applyFont="1" applyBorder="1" applyAlignment="1">
      <alignment horizontal="center"/>
    </xf>
    <xf numFmtId="2" fontId="0" fillId="0" borderId="3" xfId="0" applyNumberFormat="1" applyFill="1" applyBorder="1" applyProtection="1"/>
    <xf numFmtId="166" fontId="32" fillId="0" borderId="3" xfId="0" applyNumberFormat="1" applyFont="1" applyFill="1" applyBorder="1" applyProtection="1"/>
    <xf numFmtId="37" fontId="2" fillId="0" borderId="99" xfId="0" applyFont="1" applyFill="1" applyBorder="1"/>
    <xf numFmtId="37" fontId="7" fillId="0" borderId="0" xfId="0" applyNumberFormat="1" applyFont="1" applyFill="1" applyBorder="1" applyAlignment="1" applyProtection="1"/>
    <xf numFmtId="37" fontId="2" fillId="7" borderId="56" xfId="0" applyFont="1" applyFill="1" applyBorder="1" applyProtection="1">
      <protection locked="0"/>
    </xf>
    <xf numFmtId="37" fontId="2" fillId="0" borderId="101" xfId="0" applyFont="1" applyFill="1" applyBorder="1" applyAlignment="1">
      <alignment horizontal="left"/>
    </xf>
    <xf numFmtId="37" fontId="24" fillId="0" borderId="103" xfId="0" applyFont="1" applyFill="1" applyBorder="1"/>
    <xf numFmtId="37" fontId="24" fillId="2" borderId="0" xfId="0" applyFont="1"/>
    <xf numFmtId="37" fontId="2" fillId="2" borderId="101" xfId="0" applyFont="1" applyBorder="1" applyAlignment="1">
      <alignment horizontal="left"/>
    </xf>
    <xf numFmtId="37" fontId="24" fillId="2" borderId="101" xfId="0" applyFont="1" applyBorder="1"/>
    <xf numFmtId="44" fontId="24" fillId="0" borderId="102" xfId="4" applyFont="1" applyFill="1" applyBorder="1" applyAlignment="1">
      <alignment vertical="center"/>
    </xf>
    <xf numFmtId="37" fontId="24" fillId="0" borderId="103" xfId="0" applyFont="1" applyFill="1" applyBorder="1" applyAlignment="1">
      <alignment wrapText="1"/>
    </xf>
    <xf numFmtId="37" fontId="8" fillId="2" borderId="101" xfId="0" applyFont="1" applyBorder="1" applyAlignment="1">
      <alignment horizontal="center" vertical="center" wrapText="1"/>
    </xf>
    <xf numFmtId="37" fontId="8" fillId="2" borderId="104" xfId="0" applyFont="1" applyBorder="1" applyAlignment="1">
      <alignment horizontal="center" vertical="center" wrapText="1"/>
    </xf>
    <xf numFmtId="37" fontId="8" fillId="2" borderId="102" xfId="0" applyFont="1" applyBorder="1" applyAlignment="1">
      <alignment horizontal="center" vertical="center" wrapText="1"/>
    </xf>
    <xf numFmtId="37" fontId="24" fillId="2" borderId="101" xfId="0" applyFont="1" applyBorder="1" applyAlignment="1">
      <alignment horizontal="center" vertical="center" wrapText="1"/>
    </xf>
    <xf numFmtId="37" fontId="24" fillId="0" borderId="101" xfId="0" applyFont="1" applyFill="1" applyBorder="1" applyAlignment="1">
      <alignment wrapText="1"/>
    </xf>
    <xf numFmtId="37" fontId="24" fillId="2" borderId="101" xfId="0" applyFont="1" applyBorder="1" applyAlignment="1">
      <alignment horizontal="center" vertical="center"/>
    </xf>
    <xf numFmtId="37" fontId="24" fillId="0" borderId="55" xfId="0" applyFont="1" applyFill="1" applyBorder="1"/>
    <xf numFmtId="37" fontId="2" fillId="2" borderId="102" xfId="0" applyFont="1" applyBorder="1" applyAlignment="1">
      <alignment horizontal="left"/>
    </xf>
    <xf numFmtId="37" fontId="14" fillId="2" borderId="105" xfId="0" applyNumberFormat="1" applyFont="1" applyBorder="1" applyAlignment="1" applyProtection="1">
      <alignment horizontal="right"/>
    </xf>
    <xf numFmtId="49" fontId="2" fillId="0" borderId="106" xfId="0" applyNumberFormat="1" applyFont="1" applyFill="1" applyBorder="1" applyAlignment="1" applyProtection="1">
      <alignment horizontal="center"/>
    </xf>
    <xf numFmtId="37" fontId="2" fillId="0" borderId="103" xfId="0" applyNumberFormat="1" applyFont="1" applyFill="1" applyBorder="1" applyAlignment="1" applyProtection="1">
      <alignment wrapText="1"/>
    </xf>
    <xf numFmtId="2" fontId="14" fillId="0" borderId="103" xfId="2" applyNumberFormat="1" applyFont="1" applyFill="1" applyBorder="1" applyAlignment="1" applyProtection="1"/>
    <xf numFmtId="37" fontId="24" fillId="2" borderId="102" xfId="0" applyFont="1" applyBorder="1" applyAlignment="1">
      <alignment horizontal="center" vertical="center" wrapText="1"/>
    </xf>
    <xf numFmtId="37" fontId="24" fillId="2" borderId="104" xfId="0" applyFont="1" applyBorder="1" applyAlignment="1">
      <alignment horizontal="center" vertical="center" wrapText="1"/>
    </xf>
    <xf numFmtId="167" fontId="24" fillId="0" borderId="107" xfId="0" applyNumberFormat="1" applyFont="1" applyFill="1" applyBorder="1"/>
    <xf numFmtId="37" fontId="2" fillId="0" borderId="108" xfId="0" applyFont="1" applyFill="1" applyBorder="1" applyAlignment="1">
      <alignment horizontal="left"/>
    </xf>
    <xf numFmtId="37" fontId="2" fillId="7" borderId="21" xfId="0" applyFont="1" applyFill="1" applyBorder="1" applyProtection="1">
      <protection locked="0"/>
    </xf>
    <xf numFmtId="37" fontId="24" fillId="0" borderId="107" xfId="0" applyFont="1" applyFill="1" applyBorder="1"/>
    <xf numFmtId="37" fontId="37" fillId="0" borderId="108" xfId="0" applyFont="1" applyFill="1" applyBorder="1" applyAlignment="1">
      <alignment horizontal="left"/>
    </xf>
    <xf numFmtId="37" fontId="2" fillId="0" borderId="108" xfId="0" applyFont="1" applyFill="1" applyBorder="1"/>
    <xf numFmtId="49" fontId="2" fillId="0" borderId="109" xfId="0" applyNumberFormat="1" applyFont="1" applyFill="1" applyBorder="1" applyAlignment="1" applyProtection="1">
      <alignment horizontal="center"/>
    </xf>
    <xf numFmtId="37" fontId="2" fillId="0" borderId="107" xfId="0" applyFont="1" applyFill="1" applyBorder="1" applyAlignment="1" applyProtection="1">
      <alignment wrapText="1"/>
    </xf>
    <xf numFmtId="2" fontId="14" fillId="0" borderId="107" xfId="2" applyNumberFormat="1" applyFont="1" applyFill="1" applyBorder="1" applyAlignment="1" applyProtection="1"/>
    <xf numFmtId="2" fontId="14" fillId="0" borderId="108" xfId="2" applyNumberFormat="1" applyFont="1" applyFill="1" applyBorder="1" applyAlignment="1" applyProtection="1"/>
    <xf numFmtId="37" fontId="25" fillId="0" borderId="107" xfId="0" applyFont="1" applyFill="1" applyBorder="1" applyAlignment="1" applyProtection="1">
      <alignment horizontal="center"/>
    </xf>
    <xf numFmtId="37" fontId="2" fillId="0" borderId="108" xfId="0" applyFont="1" applyFill="1" applyBorder="1" applyAlignment="1" applyProtection="1">
      <alignment wrapText="1"/>
    </xf>
    <xf numFmtId="49" fontId="2" fillId="0" borderId="109" xfId="0" applyNumberFormat="1" applyFont="1" applyFill="1" applyBorder="1" applyAlignment="1">
      <alignment horizontal="center"/>
    </xf>
    <xf numFmtId="37" fontId="24" fillId="0" borderId="107" xfId="0" applyFont="1" applyFill="1" applyBorder="1" applyAlignment="1">
      <alignment wrapText="1"/>
    </xf>
    <xf numFmtId="49" fontId="2" fillId="0" borderId="110" xfId="0" applyNumberFormat="1" applyFont="1" applyFill="1" applyBorder="1" applyAlignment="1" applyProtection="1">
      <alignment horizontal="center"/>
    </xf>
    <xf numFmtId="37" fontId="2" fillId="0" borderId="107" xfId="0" applyNumberFormat="1" applyFont="1" applyFill="1" applyBorder="1" applyAlignment="1" applyProtection="1">
      <alignment wrapText="1"/>
    </xf>
    <xf numFmtId="49" fontId="2" fillId="0" borderId="79" xfId="0" applyNumberFormat="1" applyFont="1" applyFill="1" applyBorder="1" applyAlignment="1" applyProtection="1">
      <alignment horizontal="center"/>
    </xf>
    <xf numFmtId="37" fontId="25" fillId="0" borderId="107" xfId="0" applyNumberFormat="1" applyFont="1" applyFill="1" applyBorder="1" applyAlignment="1" applyProtection="1">
      <alignment horizontal="center"/>
    </xf>
    <xf numFmtId="37" fontId="2" fillId="0" borderId="108" xfId="0" applyNumberFormat="1" applyFont="1" applyFill="1" applyBorder="1" applyAlignment="1" applyProtection="1">
      <alignment wrapText="1"/>
    </xf>
    <xf numFmtId="37" fontId="37" fillId="2" borderId="108" xfId="0" applyFont="1" applyBorder="1" applyAlignment="1">
      <alignment horizontal="center" vertical="center"/>
    </xf>
    <xf numFmtId="167" fontId="24" fillId="0" borderId="107" xfId="0" applyNumberFormat="1" applyFont="1" applyFill="1" applyBorder="1" applyAlignment="1">
      <alignment wrapText="1"/>
    </xf>
    <xf numFmtId="37" fontId="37" fillId="2" borderId="102" xfId="0" applyFont="1" applyBorder="1" applyAlignment="1">
      <alignment horizontal="center" vertical="center"/>
    </xf>
    <xf numFmtId="37" fontId="2" fillId="2" borderId="3" xfId="0" applyFont="1" applyBorder="1" applyAlignment="1">
      <alignment horizontal="left"/>
    </xf>
    <xf numFmtId="37" fontId="2" fillId="2" borderId="101" xfId="0" applyFont="1" applyBorder="1" applyAlignment="1">
      <alignment horizontal="left"/>
    </xf>
    <xf numFmtId="37" fontId="2" fillId="0" borderId="3" xfId="0" applyFont="1" applyFill="1" applyBorder="1" applyAlignment="1">
      <alignment horizontal="left"/>
    </xf>
    <xf numFmtId="0" fontId="3" fillId="2" borderId="9" xfId="0" applyNumberFormat="1" applyFont="1" applyBorder="1" applyAlignment="1" applyProtection="1">
      <alignment horizontal="center"/>
    </xf>
    <xf numFmtId="0" fontId="3" fillId="2" borderId="40" xfId="0" applyNumberFormat="1" applyFont="1" applyBorder="1" applyAlignment="1" applyProtection="1">
      <alignment horizontal="center"/>
    </xf>
    <xf numFmtId="0" fontId="3" fillId="2" borderId="41" xfId="0" applyNumberFormat="1" applyFont="1" applyBorder="1" applyAlignment="1" applyProtection="1">
      <alignment horizontal="center"/>
    </xf>
    <xf numFmtId="37" fontId="2" fillId="7" borderId="3" xfId="0" applyNumberFormat="1" applyFont="1" applyFill="1" applyBorder="1" applyAlignment="1" applyProtection="1">
      <alignment horizontal="center"/>
      <protection locked="0"/>
    </xf>
    <xf numFmtId="0" fontId="2" fillId="7" borderId="3" xfId="0" applyNumberFormat="1" applyFont="1" applyFill="1" applyBorder="1" applyAlignment="1" applyProtection="1">
      <alignment horizontal="center"/>
      <protection locked="0"/>
    </xf>
    <xf numFmtId="0" fontId="2" fillId="7" borderId="3" xfId="0" quotePrefix="1" applyNumberFormat="1" applyFont="1" applyFill="1" applyBorder="1" applyAlignment="1" applyProtection="1">
      <alignment horizontal="center"/>
      <protection locked="0"/>
    </xf>
    <xf numFmtId="37" fontId="16" fillId="2" borderId="90" xfId="0" applyNumberFormat="1" applyFont="1" applyBorder="1" applyAlignment="1" applyProtection="1">
      <alignment horizontal="center" wrapText="1"/>
    </xf>
    <xf numFmtId="37" fontId="16" fillId="2" borderId="17" xfId="0" applyNumberFormat="1" applyFont="1" applyBorder="1" applyAlignment="1" applyProtection="1">
      <alignment horizontal="center" wrapText="1"/>
    </xf>
    <xf numFmtId="37" fontId="2" fillId="2" borderId="20" xfId="0" applyNumberFormat="1" applyFont="1" applyBorder="1" applyAlignment="1" applyProtection="1">
      <alignment horizontal="center" wrapText="1"/>
    </xf>
    <xf numFmtId="37" fontId="2" fillId="2" borderId="42" xfId="0" applyNumberFormat="1" applyFont="1" applyBorder="1" applyAlignment="1" applyProtection="1">
      <alignment horizontal="center" wrapText="1"/>
    </xf>
    <xf numFmtId="37" fontId="22" fillId="2" borderId="0" xfId="0" applyNumberFormat="1" applyFont="1" applyAlignment="1" applyProtection="1">
      <alignment wrapText="1"/>
    </xf>
    <xf numFmtId="37" fontId="22" fillId="2" borderId="0" xfId="0" applyNumberFormat="1" applyFont="1" applyBorder="1" applyAlignment="1" applyProtection="1">
      <alignment wrapText="1"/>
    </xf>
    <xf numFmtId="37" fontId="22" fillId="2" borderId="0" xfId="0" applyNumberFormat="1" applyFont="1" applyAlignment="1" applyProtection="1">
      <alignment horizontal="left" wrapText="1"/>
    </xf>
    <xf numFmtId="0" fontId="32" fillId="2" borderId="79" xfId="0" applyNumberFormat="1" applyFont="1" applyBorder="1" applyProtection="1"/>
    <xf numFmtId="0" fontId="32" fillId="2" borderId="42" xfId="0" applyNumberFormat="1" applyFont="1" applyBorder="1" applyProtection="1"/>
    <xf numFmtId="0" fontId="32" fillId="2" borderId="1" xfId="0" applyNumberFormat="1" applyFont="1" applyBorder="1" applyProtection="1"/>
    <xf numFmtId="0" fontId="32" fillId="2" borderId="81" xfId="0" applyNumberFormat="1" applyFont="1" applyBorder="1" applyProtection="1"/>
    <xf numFmtId="0" fontId="32" fillId="2" borderId="82" xfId="0" applyNumberFormat="1" applyFont="1" applyBorder="1" applyProtection="1"/>
    <xf numFmtId="0" fontId="32" fillId="2" borderId="89" xfId="0" applyNumberFormat="1" applyFont="1" applyBorder="1" applyProtection="1"/>
    <xf numFmtId="37" fontId="32" fillId="2" borderId="79" xfId="0" applyNumberFormat="1" applyFont="1" applyBorder="1" applyAlignment="1" applyProtection="1"/>
    <xf numFmtId="37" fontId="32" fillId="2" borderId="42" xfId="0" applyNumberFormat="1" applyFont="1" applyBorder="1" applyAlignment="1" applyProtection="1"/>
    <xf numFmtId="37" fontId="32" fillId="2" borderId="1" xfId="0" applyNumberFormat="1" applyFont="1" applyBorder="1" applyAlignment="1" applyProtection="1"/>
    <xf numFmtId="37" fontId="32" fillId="2" borderId="79" xfId="0" applyNumberFormat="1" applyFont="1" applyBorder="1" applyProtection="1"/>
    <xf numFmtId="37" fontId="32" fillId="2" borderId="42" xfId="0" applyNumberFormat="1" applyFont="1" applyBorder="1" applyProtection="1"/>
    <xf numFmtId="37" fontId="32" fillId="2" borderId="1" xfId="0" applyNumberFormat="1" applyFont="1" applyBorder="1" applyProtection="1"/>
    <xf numFmtId="37" fontId="32" fillId="2" borderId="88" xfId="0" applyNumberFormat="1" applyFont="1" applyBorder="1" applyProtection="1"/>
    <xf numFmtId="37" fontId="32" fillId="2" borderId="37" xfId="0" applyNumberFormat="1" applyFont="1" applyBorder="1" applyProtection="1"/>
    <xf numFmtId="37" fontId="32" fillId="2" borderId="5" xfId="0" applyNumberFormat="1" applyFont="1" applyBorder="1" applyProtection="1"/>
    <xf numFmtId="37" fontId="32" fillId="11" borderId="76" xfId="0" applyNumberFormat="1" applyFont="1" applyFill="1" applyBorder="1" applyProtection="1"/>
    <xf numFmtId="37" fontId="32" fillId="11" borderId="0" xfId="0" applyNumberFormat="1" applyFont="1" applyFill="1" applyBorder="1" applyProtection="1"/>
    <xf numFmtId="37" fontId="32" fillId="11" borderId="38" xfId="0" applyNumberFormat="1" applyFont="1" applyFill="1" applyBorder="1" applyProtection="1"/>
    <xf numFmtId="37" fontId="31" fillId="2" borderId="86" xfId="0" applyNumberFormat="1" applyFont="1" applyBorder="1" applyAlignment="1" applyProtection="1"/>
    <xf numFmtId="37" fontId="31" fillId="2" borderId="87" xfId="0" applyNumberFormat="1" applyFont="1" applyBorder="1" applyAlignment="1" applyProtection="1"/>
    <xf numFmtId="37" fontId="31" fillId="2" borderId="28" xfId="0" applyNumberFormat="1" applyFont="1" applyBorder="1" applyAlignment="1" applyProtection="1"/>
    <xf numFmtId="37" fontId="31" fillId="14" borderId="9" xfId="0" applyNumberFormat="1" applyFont="1" applyFill="1" applyBorder="1" applyAlignment="1" applyProtection="1">
      <alignment horizontal="center" vertical="center"/>
    </xf>
    <xf numFmtId="37" fontId="31" fillId="14" borderId="40" xfId="0" applyNumberFormat="1" applyFont="1" applyFill="1" applyBorder="1" applyAlignment="1" applyProtection="1">
      <alignment horizontal="center" vertical="center"/>
    </xf>
    <xf numFmtId="37" fontId="31" fillId="14" borderId="41" xfId="0" applyNumberFormat="1" applyFont="1" applyFill="1" applyBorder="1" applyAlignment="1" applyProtection="1">
      <alignment horizontal="center" vertical="center"/>
    </xf>
    <xf numFmtId="37" fontId="31" fillId="2" borderId="86" xfId="0" applyNumberFormat="1" applyFont="1" applyBorder="1" applyAlignment="1" applyProtection="1">
      <alignment horizontal="center" vertical="center" wrapText="1"/>
    </xf>
    <xf numFmtId="37" fontId="31" fillId="2" borderId="87" xfId="0" applyNumberFormat="1" applyFont="1" applyBorder="1" applyAlignment="1" applyProtection="1">
      <alignment horizontal="center" vertical="center" wrapText="1"/>
    </xf>
    <xf numFmtId="37" fontId="31" fillId="2" borderId="28" xfId="0" applyNumberFormat="1" applyFont="1" applyBorder="1" applyAlignment="1" applyProtection="1">
      <alignment horizontal="center" vertical="center" wrapText="1"/>
    </xf>
    <xf numFmtId="37" fontId="31" fillId="2" borderId="79" xfId="0" applyNumberFormat="1" applyFont="1" applyBorder="1" applyAlignment="1" applyProtection="1">
      <alignment horizontal="center" vertical="center" wrapText="1"/>
    </xf>
    <xf numFmtId="37" fontId="31" fillId="2" borderId="42" xfId="0" applyNumberFormat="1" applyFont="1" applyBorder="1" applyAlignment="1" applyProtection="1">
      <alignment horizontal="center" vertical="center" wrapText="1"/>
    </xf>
    <xf numFmtId="37" fontId="31" fillId="2" borderId="1" xfId="0" applyNumberFormat="1" applyFont="1" applyBorder="1" applyAlignment="1" applyProtection="1">
      <alignment horizontal="center" vertical="center" wrapText="1"/>
    </xf>
    <xf numFmtId="0" fontId="7" fillId="2" borderId="9" xfId="0" applyNumberFormat="1" applyFont="1" applyBorder="1" applyAlignment="1">
      <alignment horizontal="center" wrapText="1"/>
    </xf>
    <xf numFmtId="0" fontId="7" fillId="2" borderId="40" xfId="0" applyNumberFormat="1" applyFont="1" applyBorder="1" applyAlignment="1">
      <alignment horizontal="center" wrapText="1"/>
    </xf>
    <xf numFmtId="0" fontId="7" fillId="2" borderId="41" xfId="0" applyNumberFormat="1" applyFont="1" applyBorder="1" applyAlignment="1">
      <alignment horizontal="center" wrapText="1"/>
    </xf>
    <xf numFmtId="37" fontId="31" fillId="2" borderId="9" xfId="0" applyNumberFormat="1" applyFont="1" applyBorder="1" applyAlignment="1" applyProtection="1">
      <alignment horizontal="center"/>
    </xf>
    <xf numFmtId="37" fontId="31" fillId="2" borderId="40" xfId="0" applyNumberFormat="1" applyFont="1" applyBorder="1" applyAlignment="1" applyProtection="1">
      <alignment horizontal="center"/>
    </xf>
    <xf numFmtId="37" fontId="31" fillId="2" borderId="85" xfId="0" applyNumberFormat="1" applyFont="1" applyBorder="1" applyAlignment="1" applyProtection="1">
      <alignment horizontal="center"/>
    </xf>
    <xf numFmtId="2" fontId="2" fillId="2" borderId="86" xfId="0" applyNumberFormat="1" applyFont="1" applyBorder="1" applyAlignment="1">
      <alignment wrapText="1"/>
    </xf>
    <xf numFmtId="2" fontId="2" fillId="2" borderId="28" xfId="0" applyNumberFormat="1" applyFont="1" applyBorder="1" applyAlignment="1">
      <alignment wrapText="1"/>
    </xf>
    <xf numFmtId="37" fontId="2" fillId="2" borderId="79" xfId="0" applyNumberFormat="1" applyFont="1" applyBorder="1" applyAlignment="1">
      <alignment horizontal="right" wrapText="1"/>
    </xf>
    <xf numFmtId="37" fontId="2" fillId="2" borderId="1" xfId="0" applyNumberFormat="1" applyFont="1" applyBorder="1" applyAlignment="1">
      <alignment horizontal="right" wrapText="1"/>
    </xf>
    <xf numFmtId="37" fontId="2" fillId="2" borderId="81" xfId="0" applyNumberFormat="1" applyFont="1" applyBorder="1" applyAlignment="1">
      <alignment horizontal="right" wrapText="1"/>
    </xf>
    <xf numFmtId="37" fontId="2" fillId="2" borderId="17" xfId="0" applyNumberFormat="1" applyFont="1" applyBorder="1" applyAlignment="1">
      <alignment horizontal="right" wrapText="1"/>
    </xf>
    <xf numFmtId="0" fontId="3" fillId="2" borderId="9" xfId="0" applyNumberFormat="1" applyFont="1" applyBorder="1" applyAlignment="1">
      <alignment horizontal="center" wrapText="1"/>
    </xf>
    <xf numFmtId="0" fontId="3" fillId="2" borderId="40" xfId="0" applyNumberFormat="1" applyFont="1" applyBorder="1" applyAlignment="1">
      <alignment horizontal="center" wrapText="1"/>
    </xf>
    <xf numFmtId="0" fontId="3" fillId="2" borderId="41" xfId="0" applyNumberFormat="1" applyFont="1" applyBorder="1" applyAlignment="1">
      <alignment horizontal="center" wrapText="1"/>
    </xf>
    <xf numFmtId="0" fontId="2" fillId="5" borderId="79" xfId="0" applyNumberFormat="1" applyFont="1" applyFill="1" applyBorder="1" applyProtection="1"/>
    <xf numFmtId="0" fontId="2" fillId="5" borderId="42" xfId="0" applyNumberFormat="1" applyFont="1" applyFill="1" applyBorder="1" applyProtection="1"/>
    <xf numFmtId="0" fontId="2" fillId="5" borderId="81" xfId="0" applyNumberFormat="1" applyFont="1" applyFill="1" applyBorder="1" applyProtection="1"/>
    <xf numFmtId="0" fontId="2" fillId="5" borderId="82" xfId="0" applyNumberFormat="1" applyFont="1" applyFill="1" applyBorder="1" applyProtection="1"/>
    <xf numFmtId="0" fontId="2" fillId="2" borderId="9" xfId="0" applyNumberFormat="1" applyFont="1" applyBorder="1" applyAlignment="1">
      <alignment wrapText="1"/>
    </xf>
    <xf numFmtId="0" fontId="2" fillId="2" borderId="40" xfId="0" applyNumberFormat="1" applyFont="1" applyBorder="1" applyAlignment="1">
      <alignment wrapText="1"/>
    </xf>
    <xf numFmtId="0" fontId="2" fillId="2" borderId="41" xfId="0" applyNumberFormat="1" applyFont="1" applyBorder="1" applyAlignment="1">
      <alignment wrapText="1"/>
    </xf>
    <xf numFmtId="0" fontId="2" fillId="2" borderId="79" xfId="0" applyNumberFormat="1" applyFont="1" applyBorder="1" applyAlignment="1">
      <alignment wrapText="1"/>
    </xf>
    <xf numFmtId="0" fontId="2" fillId="2" borderId="42" xfId="0" applyNumberFormat="1" applyFont="1" applyBorder="1" applyAlignment="1">
      <alignment wrapText="1"/>
    </xf>
    <xf numFmtId="0" fontId="28" fillId="2" borderId="79" xfId="0" applyNumberFormat="1" applyFont="1" applyBorder="1" applyAlignment="1">
      <alignment wrapText="1"/>
    </xf>
    <xf numFmtId="0" fontId="28" fillId="2" borderId="42" xfId="0" applyNumberFormat="1" applyFont="1" applyBorder="1" applyAlignment="1">
      <alignment wrapText="1"/>
    </xf>
    <xf numFmtId="37" fontId="35" fillId="0" borderId="0" xfId="0" applyNumberFormat="1" applyFont="1" applyFill="1" applyAlignment="1" applyProtection="1">
      <alignment wrapText="1"/>
    </xf>
    <xf numFmtId="37" fontId="16" fillId="0" borderId="9" xfId="0" applyNumberFormat="1" applyFont="1" applyFill="1" applyBorder="1" applyAlignment="1" applyProtection="1">
      <alignment horizontal="center" wrapText="1"/>
    </xf>
    <xf numFmtId="37" fontId="16" fillId="0" borderId="40" xfId="0" applyNumberFormat="1" applyFont="1" applyFill="1" applyBorder="1" applyAlignment="1" applyProtection="1">
      <alignment horizontal="center" wrapText="1"/>
    </xf>
    <xf numFmtId="37" fontId="16" fillId="0" borderId="41" xfId="0" applyNumberFormat="1" applyFont="1" applyFill="1" applyBorder="1" applyAlignment="1" applyProtection="1">
      <alignment horizontal="center" wrapText="1"/>
    </xf>
    <xf numFmtId="0" fontId="7" fillId="2" borderId="9" xfId="0" applyNumberFormat="1" applyFont="1" applyBorder="1" applyAlignment="1">
      <alignment wrapText="1"/>
    </xf>
    <xf numFmtId="0" fontId="7" fillId="2" borderId="40" xfId="0" applyNumberFormat="1" applyFont="1" applyBorder="1" applyAlignment="1">
      <alignment wrapText="1"/>
    </xf>
    <xf numFmtId="0" fontId="7" fillId="2" borderId="41" xfId="0" applyNumberFormat="1" applyFont="1" applyBorder="1" applyAlignment="1">
      <alignment wrapText="1"/>
    </xf>
    <xf numFmtId="0" fontId="28" fillId="2" borderId="76" xfId="0" applyNumberFormat="1" applyFont="1" applyBorder="1" applyAlignment="1">
      <alignment wrapText="1"/>
    </xf>
    <xf numFmtId="0" fontId="28" fillId="2" borderId="0" xfId="0" applyNumberFormat="1" applyFont="1" applyBorder="1" applyAlignment="1">
      <alignment wrapText="1"/>
    </xf>
    <xf numFmtId="0" fontId="28" fillId="2" borderId="33" xfId="0" applyNumberFormat="1" applyFont="1" applyBorder="1" applyAlignment="1">
      <alignment wrapText="1"/>
    </xf>
    <xf numFmtId="0" fontId="2" fillId="2" borderId="1" xfId="0" applyNumberFormat="1" applyFont="1" applyBorder="1" applyAlignment="1">
      <alignment wrapText="1"/>
    </xf>
    <xf numFmtId="0" fontId="2" fillId="5" borderId="1" xfId="0" applyNumberFormat="1" applyFont="1" applyFill="1" applyBorder="1" applyProtection="1"/>
    <xf numFmtId="0" fontId="28" fillId="2" borderId="80" xfId="0" applyNumberFormat="1" applyFont="1" applyBorder="1" applyAlignment="1">
      <alignment wrapText="1"/>
    </xf>
    <xf numFmtId="2" fontId="2" fillId="0" borderId="12" xfId="0" applyNumberFormat="1" applyFont="1" applyFill="1" applyBorder="1" applyAlignment="1">
      <alignment vertical="center"/>
    </xf>
    <xf numFmtId="2" fontId="2" fillId="0" borderId="108" xfId="0" applyNumberFormat="1" applyFont="1" applyFill="1" applyBorder="1" applyAlignment="1">
      <alignment vertical="center"/>
    </xf>
    <xf numFmtId="2" fontId="2" fillId="0" borderId="24" xfId="0" applyNumberFormat="1" applyFont="1" applyFill="1" applyBorder="1" applyAlignment="1">
      <alignment vertical="center"/>
    </xf>
    <xf numFmtId="39" fontId="2" fillId="2" borderId="0" xfId="0" applyNumberFormat="1" applyFont="1"/>
  </cellXfs>
  <cellStyles count="6">
    <cellStyle name="Comma" xfId="2" builtinId="3"/>
    <cellStyle name="Currency" xfId="4" builtinId="4"/>
    <cellStyle name="Normal" xfId="0" builtinId="0"/>
    <cellStyle name="Normal 2" xfId="1" xr:uid="{00000000-0005-0000-0000-000003000000}"/>
    <cellStyle name="Normal 3" xfId="3" xr:uid="{00000000-0005-0000-0000-000004000000}"/>
    <cellStyle name="Normal 4" xfId="5" xr:uid="{00000000-0005-0000-0000-000005000000}"/>
  </cellStyles>
  <dxfs count="2">
    <dxf>
      <font>
        <condense val="0"/>
        <extend val="0"/>
        <color indexed="51"/>
      </font>
      <fill>
        <patternFill>
          <bgColor indexed="16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T115"/>
  <sheetViews>
    <sheetView showGridLines="0" tabSelected="1" zoomScale="80" zoomScaleNormal="80" workbookViewId="0">
      <selection activeCell="B1" sqref="B1:C1"/>
    </sheetView>
  </sheetViews>
  <sheetFormatPr defaultRowHeight="12.5" x14ac:dyDescent="0.25"/>
  <cols>
    <col min="1" max="1" width="41.54296875" customWidth="1"/>
    <col min="2" max="2" width="52.90625" customWidth="1"/>
    <col min="3" max="9" width="15" customWidth="1"/>
    <col min="10" max="10" width="23.26953125" customWidth="1"/>
    <col min="11" max="19" width="15" customWidth="1"/>
    <col min="20" max="20" width="11.7265625" customWidth="1"/>
  </cols>
  <sheetData>
    <row r="1" spans="1:20" ht="15.5" x14ac:dyDescent="0.35">
      <c r="A1" s="16" t="s">
        <v>5</v>
      </c>
      <c r="B1" s="511"/>
      <c r="C1" s="511"/>
      <c r="D1" s="13"/>
      <c r="E1" s="13"/>
      <c r="F1" s="13"/>
      <c r="G1" s="13"/>
      <c r="H1" s="13"/>
      <c r="I1" s="13"/>
      <c r="J1" s="17" t="s">
        <v>24</v>
      </c>
      <c r="K1" s="18"/>
      <c r="L1" s="18"/>
      <c r="M1" s="18"/>
      <c r="N1" s="18"/>
      <c r="O1" s="18"/>
      <c r="P1" s="18"/>
      <c r="Q1" s="18"/>
      <c r="R1" s="18"/>
      <c r="S1" s="18"/>
      <c r="T1" s="2"/>
    </row>
    <row r="2" spans="1:20" ht="15.5" x14ac:dyDescent="0.35">
      <c r="A2" s="16" t="s">
        <v>127</v>
      </c>
      <c r="B2" s="511"/>
      <c r="C2" s="511"/>
      <c r="D2" s="13"/>
      <c r="E2" s="13"/>
      <c r="F2" s="13"/>
      <c r="G2" s="13"/>
      <c r="H2" s="13"/>
      <c r="I2" s="13"/>
      <c r="J2" s="17" t="s">
        <v>2</v>
      </c>
      <c r="K2" s="18"/>
      <c r="L2" s="18"/>
      <c r="M2" s="18"/>
      <c r="N2" s="18"/>
      <c r="O2" s="18"/>
      <c r="P2" s="18"/>
      <c r="Q2" s="18"/>
      <c r="R2" s="18"/>
      <c r="S2" s="18"/>
      <c r="T2" s="2"/>
    </row>
    <row r="3" spans="1:20" ht="15.5" x14ac:dyDescent="0.35">
      <c r="A3" s="16" t="s">
        <v>128</v>
      </c>
      <c r="B3" s="512"/>
      <c r="C3" s="512"/>
      <c r="D3" s="13"/>
      <c r="E3" s="13"/>
      <c r="F3" s="13"/>
      <c r="G3" s="13"/>
      <c r="H3" s="13"/>
      <c r="I3" s="13"/>
      <c r="J3" s="17" t="s">
        <v>3</v>
      </c>
      <c r="K3" s="18"/>
      <c r="L3" s="18"/>
      <c r="M3" s="18"/>
      <c r="N3" s="18"/>
      <c r="O3" s="18"/>
      <c r="P3" s="18"/>
      <c r="Q3" s="18"/>
      <c r="R3" s="18"/>
      <c r="S3" s="18"/>
      <c r="T3" s="2"/>
    </row>
    <row r="4" spans="1:20" ht="15.5" x14ac:dyDescent="0.35">
      <c r="A4" s="16" t="s">
        <v>129</v>
      </c>
      <c r="B4" s="513"/>
      <c r="C4" s="512"/>
      <c r="D4" s="13"/>
      <c r="E4" s="13"/>
      <c r="F4" s="13"/>
      <c r="G4" s="13"/>
      <c r="H4" s="13"/>
      <c r="I4" s="13"/>
      <c r="J4" s="17" t="s">
        <v>1</v>
      </c>
      <c r="K4" s="18"/>
      <c r="L4" s="18"/>
      <c r="M4" s="18"/>
      <c r="N4" s="18"/>
      <c r="O4" s="18"/>
      <c r="P4" s="18"/>
      <c r="Q4" s="18"/>
      <c r="R4" s="18"/>
      <c r="S4" s="18"/>
      <c r="T4" s="2"/>
    </row>
    <row r="5" spans="1:20" ht="15.5" x14ac:dyDescent="0.35">
      <c r="A5" s="19" t="s">
        <v>70</v>
      </c>
      <c r="B5" s="511"/>
      <c r="C5" s="511"/>
      <c r="D5" s="20"/>
      <c r="E5" s="13"/>
      <c r="F5" s="13"/>
      <c r="G5" s="13"/>
      <c r="H5" s="13"/>
      <c r="I5" s="13"/>
      <c r="J5" s="17" t="s">
        <v>4</v>
      </c>
      <c r="K5" s="18"/>
      <c r="L5" s="18"/>
      <c r="M5" s="18"/>
      <c r="N5" s="18"/>
      <c r="O5" s="18"/>
      <c r="P5" s="18"/>
      <c r="Q5" s="18"/>
      <c r="R5" s="18"/>
      <c r="S5" s="18"/>
      <c r="T5" s="2"/>
    </row>
    <row r="6" spans="1:20" ht="15.5" x14ac:dyDescent="0.35">
      <c r="A6" s="13"/>
      <c r="B6" s="18"/>
      <c r="C6" s="18"/>
      <c r="D6" s="13"/>
      <c r="E6" s="13"/>
      <c r="F6" s="13"/>
      <c r="G6" s="13"/>
      <c r="H6" s="13"/>
      <c r="I6" s="13"/>
      <c r="J6" s="17" t="s">
        <v>52</v>
      </c>
      <c r="K6" s="18"/>
      <c r="L6" s="18"/>
      <c r="M6" s="18"/>
      <c r="N6" s="18"/>
      <c r="O6" s="18"/>
      <c r="P6" s="18"/>
      <c r="Q6" s="18"/>
      <c r="R6" s="18"/>
      <c r="S6" s="18"/>
      <c r="T6" s="2"/>
    </row>
    <row r="7" spans="1:20" s="1" customFormat="1" ht="16" thickBot="1" x14ac:dyDescent="0.4">
      <c r="A7" s="21"/>
      <c r="B7" s="60"/>
      <c r="C7" s="61"/>
      <c r="D7" s="61"/>
      <c r="E7" s="68"/>
      <c r="F7" s="68"/>
      <c r="G7" s="68"/>
      <c r="H7" s="68"/>
      <c r="I7" s="68"/>
      <c r="J7" s="460" t="s">
        <v>682</v>
      </c>
      <c r="K7" s="68"/>
      <c r="M7" s="22"/>
      <c r="N7" s="61"/>
      <c r="O7" s="61"/>
      <c r="P7" s="61"/>
      <c r="Q7" s="61"/>
      <c r="R7" s="21"/>
      <c r="S7" s="21"/>
      <c r="T7" s="4"/>
    </row>
    <row r="8" spans="1:20" ht="16" thickBot="1" x14ac:dyDescent="0.4">
      <c r="A8" s="23"/>
      <c r="B8" s="23"/>
      <c r="C8" s="508" t="s">
        <v>30</v>
      </c>
      <c r="D8" s="509"/>
      <c r="E8" s="509"/>
      <c r="F8" s="509"/>
      <c r="G8" s="509"/>
      <c r="H8" s="509"/>
      <c r="I8" s="510"/>
      <c r="J8" s="24"/>
      <c r="K8" s="508" t="s">
        <v>33</v>
      </c>
      <c r="L8" s="509"/>
      <c r="M8" s="509"/>
      <c r="N8" s="509"/>
      <c r="O8" s="509"/>
      <c r="P8" s="509"/>
      <c r="Q8" s="509"/>
      <c r="R8" s="510"/>
      <c r="S8" s="23"/>
      <c r="T8" s="3"/>
    </row>
    <row r="9" spans="1:20" ht="53.5" customHeight="1" thickBot="1" x14ac:dyDescent="0.35">
      <c r="A9" s="119" t="s">
        <v>25</v>
      </c>
      <c r="B9" s="119"/>
      <c r="C9" s="88" t="s">
        <v>29</v>
      </c>
      <c r="D9" s="87" t="s">
        <v>27</v>
      </c>
      <c r="E9" s="87" t="s">
        <v>87</v>
      </c>
      <c r="F9" s="87" t="s">
        <v>291</v>
      </c>
      <c r="G9" s="87" t="s">
        <v>288</v>
      </c>
      <c r="H9" s="87" t="s">
        <v>283</v>
      </c>
      <c r="I9" s="89" t="s">
        <v>284</v>
      </c>
      <c r="J9" s="25" t="s">
        <v>68</v>
      </c>
      <c r="K9" s="11" t="s">
        <v>88</v>
      </c>
      <c r="L9" s="12" t="s">
        <v>27</v>
      </c>
      <c r="M9" s="87" t="s">
        <v>89</v>
      </c>
      <c r="N9" s="87" t="s">
        <v>291</v>
      </c>
      <c r="O9" s="87" t="s">
        <v>288</v>
      </c>
      <c r="P9" s="87" t="s">
        <v>283</v>
      </c>
      <c r="Q9" s="87" t="s">
        <v>284</v>
      </c>
      <c r="R9" s="118" t="s">
        <v>0</v>
      </c>
      <c r="S9" s="23"/>
      <c r="T9" s="3"/>
    </row>
    <row r="10" spans="1:20" x14ac:dyDescent="0.25">
      <c r="A10" s="505" t="s">
        <v>404</v>
      </c>
      <c r="B10" s="505"/>
      <c r="C10" s="461"/>
      <c r="D10" s="461"/>
      <c r="E10" s="461"/>
      <c r="F10" s="461"/>
      <c r="G10" s="461"/>
      <c r="H10" s="461"/>
      <c r="I10" s="461"/>
      <c r="J10" s="158" t="s">
        <v>159</v>
      </c>
      <c r="K10" s="26">
        <f t="shared" ref="K10:K41" si="0">SUM($D$80*C10)</f>
        <v>0</v>
      </c>
      <c r="L10" s="26">
        <f t="shared" ref="L10:L41" si="1">SUM($D$81*D10)</f>
        <v>0</v>
      </c>
      <c r="M10" s="26">
        <f t="shared" ref="M10:M41" si="2">SUM($D$82*E10)</f>
        <v>0</v>
      </c>
      <c r="N10" s="26">
        <f t="shared" ref="N10:N41" si="3">SUM($D$83*F10)</f>
        <v>0</v>
      </c>
      <c r="O10" s="26">
        <f t="shared" ref="O10:O41" si="4">SUM($D$84*G10)</f>
        <v>0</v>
      </c>
      <c r="P10" s="26">
        <f t="shared" ref="P10:P41" si="5">SUM($D$85*H10)</f>
        <v>0</v>
      </c>
      <c r="Q10" s="26">
        <f t="shared" ref="Q10:Q41" si="6">SUM($D$86*I10)</f>
        <v>0</v>
      </c>
      <c r="R10" s="27">
        <f>SUM(K10:Q10)</f>
        <v>0</v>
      </c>
      <c r="S10" s="23"/>
      <c r="T10" s="3"/>
    </row>
    <row r="11" spans="1:20" x14ac:dyDescent="0.25">
      <c r="A11" s="505" t="s">
        <v>96</v>
      </c>
      <c r="B11" s="505"/>
      <c r="C11" s="461"/>
      <c r="D11" s="461"/>
      <c r="E11" s="461"/>
      <c r="F11" s="461"/>
      <c r="G11" s="461"/>
      <c r="H11" s="461"/>
      <c r="I11" s="461"/>
      <c r="J11" s="158" t="s">
        <v>639</v>
      </c>
      <c r="K11" s="26">
        <f t="shared" si="0"/>
        <v>0</v>
      </c>
      <c r="L11" s="26">
        <f t="shared" si="1"/>
        <v>0</v>
      </c>
      <c r="M11" s="26">
        <f t="shared" si="2"/>
        <v>0</v>
      </c>
      <c r="N11" s="26">
        <f t="shared" si="3"/>
        <v>0</v>
      </c>
      <c r="O11" s="26">
        <f t="shared" si="4"/>
        <v>0</v>
      </c>
      <c r="P11" s="26">
        <f t="shared" si="5"/>
        <v>0</v>
      </c>
      <c r="Q11" s="26">
        <f t="shared" si="6"/>
        <v>0</v>
      </c>
      <c r="R11" s="27">
        <f t="shared" ref="R11:R61" si="7">SUM(K11:Q11)</f>
        <v>0</v>
      </c>
      <c r="S11" s="23"/>
      <c r="T11" s="3"/>
    </row>
    <row r="12" spans="1:20" x14ac:dyDescent="0.25">
      <c r="A12" s="505" t="s">
        <v>58</v>
      </c>
      <c r="B12" s="505"/>
      <c r="C12" s="461"/>
      <c r="D12" s="461"/>
      <c r="E12" s="461"/>
      <c r="F12" s="461"/>
      <c r="G12" s="461"/>
      <c r="H12" s="461"/>
      <c r="I12" s="461"/>
      <c r="J12" s="158" t="s">
        <v>60</v>
      </c>
      <c r="K12" s="26">
        <f t="shared" si="0"/>
        <v>0</v>
      </c>
      <c r="L12" s="26">
        <f t="shared" si="1"/>
        <v>0</v>
      </c>
      <c r="M12" s="26">
        <f t="shared" si="2"/>
        <v>0</v>
      </c>
      <c r="N12" s="26">
        <f t="shared" si="3"/>
        <v>0</v>
      </c>
      <c r="O12" s="26">
        <f t="shared" si="4"/>
        <v>0</v>
      </c>
      <c r="P12" s="26">
        <f t="shared" si="5"/>
        <v>0</v>
      </c>
      <c r="Q12" s="26">
        <f t="shared" si="6"/>
        <v>0</v>
      </c>
      <c r="R12" s="27">
        <f t="shared" si="7"/>
        <v>0</v>
      </c>
      <c r="S12" s="23"/>
      <c r="T12" s="3"/>
    </row>
    <row r="13" spans="1:20" x14ac:dyDescent="0.25">
      <c r="A13" s="507" t="s">
        <v>59</v>
      </c>
      <c r="B13" s="507"/>
      <c r="C13" s="461"/>
      <c r="D13" s="461"/>
      <c r="E13" s="461"/>
      <c r="F13" s="461"/>
      <c r="G13" s="461"/>
      <c r="H13" s="461"/>
      <c r="I13" s="461"/>
      <c r="J13" s="158" t="s">
        <v>61</v>
      </c>
      <c r="K13" s="26">
        <f t="shared" si="0"/>
        <v>0</v>
      </c>
      <c r="L13" s="26">
        <f t="shared" si="1"/>
        <v>0</v>
      </c>
      <c r="M13" s="26">
        <f t="shared" si="2"/>
        <v>0</v>
      </c>
      <c r="N13" s="26">
        <f t="shared" si="3"/>
        <v>0</v>
      </c>
      <c r="O13" s="26">
        <f t="shared" si="4"/>
        <v>0</v>
      </c>
      <c r="P13" s="26">
        <f t="shared" si="5"/>
        <v>0</v>
      </c>
      <c r="Q13" s="26">
        <f t="shared" si="6"/>
        <v>0</v>
      </c>
      <c r="R13" s="27">
        <f t="shared" si="7"/>
        <v>0</v>
      </c>
      <c r="S13" s="23"/>
      <c r="T13" s="3"/>
    </row>
    <row r="14" spans="1:20" ht="12.65" customHeight="1" x14ac:dyDescent="0.25">
      <c r="A14" s="507" t="s">
        <v>405</v>
      </c>
      <c r="B14" s="507"/>
      <c r="C14" s="461"/>
      <c r="D14" s="461"/>
      <c r="E14" s="461"/>
      <c r="F14" s="461"/>
      <c r="G14" s="461"/>
      <c r="H14" s="461"/>
      <c r="I14" s="461"/>
      <c r="J14" s="158" t="s">
        <v>640</v>
      </c>
      <c r="K14" s="26">
        <f t="shared" si="0"/>
        <v>0</v>
      </c>
      <c r="L14" s="26">
        <f t="shared" si="1"/>
        <v>0</v>
      </c>
      <c r="M14" s="26">
        <f t="shared" si="2"/>
        <v>0</v>
      </c>
      <c r="N14" s="26">
        <f t="shared" si="3"/>
        <v>0</v>
      </c>
      <c r="O14" s="26">
        <f t="shared" si="4"/>
        <v>0</v>
      </c>
      <c r="P14" s="26">
        <f t="shared" si="5"/>
        <v>0</v>
      </c>
      <c r="Q14" s="26">
        <f t="shared" si="6"/>
        <v>0</v>
      </c>
      <c r="R14" s="27">
        <f t="shared" si="7"/>
        <v>0</v>
      </c>
      <c r="S14" s="23"/>
      <c r="T14" s="3"/>
    </row>
    <row r="15" spans="1:20" x14ac:dyDescent="0.25">
      <c r="A15" s="507" t="s">
        <v>97</v>
      </c>
      <c r="B15" s="507"/>
      <c r="C15" s="461"/>
      <c r="D15" s="461"/>
      <c r="E15" s="461"/>
      <c r="F15" s="461"/>
      <c r="G15" s="461"/>
      <c r="H15" s="461"/>
      <c r="I15" s="461"/>
      <c r="J15" s="158" t="s">
        <v>641</v>
      </c>
      <c r="K15" s="26">
        <f t="shared" si="0"/>
        <v>0</v>
      </c>
      <c r="L15" s="26">
        <f t="shared" si="1"/>
        <v>0</v>
      </c>
      <c r="M15" s="26">
        <f t="shared" si="2"/>
        <v>0</v>
      </c>
      <c r="N15" s="26">
        <f t="shared" si="3"/>
        <v>0</v>
      </c>
      <c r="O15" s="26">
        <f t="shared" si="4"/>
        <v>0</v>
      </c>
      <c r="P15" s="26">
        <f t="shared" si="5"/>
        <v>0</v>
      </c>
      <c r="Q15" s="26">
        <f t="shared" si="6"/>
        <v>0</v>
      </c>
      <c r="R15" s="27">
        <f t="shared" si="7"/>
        <v>0</v>
      </c>
      <c r="S15" s="23"/>
      <c r="T15" s="3"/>
    </row>
    <row r="16" spans="1:20" ht="12.65" customHeight="1" x14ac:dyDescent="0.25">
      <c r="A16" s="507" t="s">
        <v>406</v>
      </c>
      <c r="B16" s="507"/>
      <c r="C16" s="461"/>
      <c r="D16" s="461"/>
      <c r="E16" s="461"/>
      <c r="F16" s="461"/>
      <c r="G16" s="461"/>
      <c r="H16" s="461"/>
      <c r="I16" s="461"/>
      <c r="J16" s="158" t="s">
        <v>642</v>
      </c>
      <c r="K16" s="26">
        <f t="shared" si="0"/>
        <v>0</v>
      </c>
      <c r="L16" s="26">
        <f t="shared" si="1"/>
        <v>0</v>
      </c>
      <c r="M16" s="26">
        <f t="shared" si="2"/>
        <v>0</v>
      </c>
      <c r="N16" s="26">
        <f t="shared" si="3"/>
        <v>0</v>
      </c>
      <c r="O16" s="26">
        <f t="shared" si="4"/>
        <v>0</v>
      </c>
      <c r="P16" s="26">
        <f t="shared" si="5"/>
        <v>0</v>
      </c>
      <c r="Q16" s="26">
        <f t="shared" si="6"/>
        <v>0</v>
      </c>
      <c r="R16" s="27">
        <f t="shared" si="7"/>
        <v>0</v>
      </c>
      <c r="S16" s="23"/>
      <c r="T16" s="3"/>
    </row>
    <row r="17" spans="1:20" ht="12.65" customHeight="1" x14ac:dyDescent="0.25">
      <c r="A17" s="507" t="s">
        <v>151</v>
      </c>
      <c r="B17" s="507"/>
      <c r="C17" s="461"/>
      <c r="D17" s="461"/>
      <c r="E17" s="461"/>
      <c r="F17" s="461"/>
      <c r="G17" s="461"/>
      <c r="H17" s="461"/>
      <c r="I17" s="461"/>
      <c r="J17" s="158" t="s">
        <v>167</v>
      </c>
      <c r="K17" s="26">
        <f t="shared" si="0"/>
        <v>0</v>
      </c>
      <c r="L17" s="26">
        <f t="shared" si="1"/>
        <v>0</v>
      </c>
      <c r="M17" s="26">
        <f t="shared" si="2"/>
        <v>0</v>
      </c>
      <c r="N17" s="26">
        <f t="shared" si="3"/>
        <v>0</v>
      </c>
      <c r="O17" s="26">
        <f t="shared" si="4"/>
        <v>0</v>
      </c>
      <c r="P17" s="26">
        <f t="shared" si="5"/>
        <v>0</v>
      </c>
      <c r="Q17" s="26">
        <f t="shared" si="6"/>
        <v>0</v>
      </c>
      <c r="R17" s="27">
        <f t="shared" si="7"/>
        <v>0</v>
      </c>
      <c r="S17" s="23"/>
      <c r="T17" s="3"/>
    </row>
    <row r="18" spans="1:20" ht="12.65" customHeight="1" x14ac:dyDescent="0.25">
      <c r="A18" s="507" t="s">
        <v>407</v>
      </c>
      <c r="B18" s="507"/>
      <c r="C18" s="461"/>
      <c r="D18" s="461"/>
      <c r="E18" s="461"/>
      <c r="F18" s="461"/>
      <c r="G18" s="461"/>
      <c r="H18" s="461"/>
      <c r="I18" s="461"/>
      <c r="J18" s="158" t="s">
        <v>643</v>
      </c>
      <c r="K18" s="26">
        <f t="shared" si="0"/>
        <v>0</v>
      </c>
      <c r="L18" s="26">
        <f t="shared" si="1"/>
        <v>0</v>
      </c>
      <c r="M18" s="26">
        <f t="shared" si="2"/>
        <v>0</v>
      </c>
      <c r="N18" s="26">
        <f t="shared" si="3"/>
        <v>0</v>
      </c>
      <c r="O18" s="26">
        <f t="shared" si="4"/>
        <v>0</v>
      </c>
      <c r="P18" s="26">
        <f t="shared" si="5"/>
        <v>0</v>
      </c>
      <c r="Q18" s="26">
        <f t="shared" si="6"/>
        <v>0</v>
      </c>
      <c r="R18" s="27">
        <f t="shared" si="7"/>
        <v>0</v>
      </c>
      <c r="S18" s="23"/>
      <c r="T18" s="3"/>
    </row>
    <row r="19" spans="1:20" ht="12.65" customHeight="1" x14ac:dyDescent="0.25">
      <c r="A19" s="507" t="s">
        <v>408</v>
      </c>
      <c r="B19" s="507"/>
      <c r="C19" s="461"/>
      <c r="D19" s="461"/>
      <c r="E19" s="461"/>
      <c r="F19" s="461"/>
      <c r="G19" s="461"/>
      <c r="H19" s="461"/>
      <c r="I19" s="461"/>
      <c r="J19" s="158" t="s">
        <v>644</v>
      </c>
      <c r="K19" s="26">
        <f t="shared" si="0"/>
        <v>0</v>
      </c>
      <c r="L19" s="26">
        <f t="shared" si="1"/>
        <v>0</v>
      </c>
      <c r="M19" s="26">
        <f t="shared" si="2"/>
        <v>0</v>
      </c>
      <c r="N19" s="26">
        <f t="shared" si="3"/>
        <v>0</v>
      </c>
      <c r="O19" s="26">
        <f t="shared" si="4"/>
        <v>0</v>
      </c>
      <c r="P19" s="26">
        <f t="shared" si="5"/>
        <v>0</v>
      </c>
      <c r="Q19" s="26">
        <f t="shared" si="6"/>
        <v>0</v>
      </c>
      <c r="R19" s="27">
        <f t="shared" si="7"/>
        <v>0</v>
      </c>
      <c r="S19" s="23"/>
      <c r="T19" s="3"/>
    </row>
    <row r="20" spans="1:20" ht="12.65" customHeight="1" x14ac:dyDescent="0.25">
      <c r="A20" s="507" t="s">
        <v>152</v>
      </c>
      <c r="B20" s="507"/>
      <c r="C20" s="461"/>
      <c r="D20" s="461"/>
      <c r="E20" s="461"/>
      <c r="F20" s="461"/>
      <c r="G20" s="461"/>
      <c r="H20" s="461"/>
      <c r="I20" s="461"/>
      <c r="J20" s="158" t="s">
        <v>168</v>
      </c>
      <c r="K20" s="26">
        <f t="shared" si="0"/>
        <v>0</v>
      </c>
      <c r="L20" s="26">
        <f t="shared" si="1"/>
        <v>0</v>
      </c>
      <c r="M20" s="26">
        <f t="shared" si="2"/>
        <v>0</v>
      </c>
      <c r="N20" s="26">
        <f t="shared" si="3"/>
        <v>0</v>
      </c>
      <c r="O20" s="26">
        <f t="shared" si="4"/>
        <v>0</v>
      </c>
      <c r="P20" s="26">
        <f t="shared" si="5"/>
        <v>0</v>
      </c>
      <c r="Q20" s="26">
        <f t="shared" si="6"/>
        <v>0</v>
      </c>
      <c r="R20" s="27">
        <f t="shared" si="7"/>
        <v>0</v>
      </c>
      <c r="S20" s="23"/>
      <c r="T20" s="3"/>
    </row>
    <row r="21" spans="1:20" ht="12.65" customHeight="1" x14ac:dyDescent="0.25">
      <c r="A21" s="507" t="s">
        <v>143</v>
      </c>
      <c r="B21" s="507"/>
      <c r="C21" s="461"/>
      <c r="D21" s="461"/>
      <c r="E21" s="461"/>
      <c r="F21" s="461"/>
      <c r="G21" s="461"/>
      <c r="H21" s="461"/>
      <c r="I21" s="461"/>
      <c r="J21" s="158" t="s">
        <v>160</v>
      </c>
      <c r="K21" s="26">
        <f t="shared" si="0"/>
        <v>0</v>
      </c>
      <c r="L21" s="26">
        <f t="shared" si="1"/>
        <v>0</v>
      </c>
      <c r="M21" s="26">
        <f t="shared" si="2"/>
        <v>0</v>
      </c>
      <c r="N21" s="26">
        <f t="shared" si="3"/>
        <v>0</v>
      </c>
      <c r="O21" s="26">
        <f t="shared" si="4"/>
        <v>0</v>
      </c>
      <c r="P21" s="26">
        <f t="shared" si="5"/>
        <v>0</v>
      </c>
      <c r="Q21" s="26">
        <f t="shared" si="6"/>
        <v>0</v>
      </c>
      <c r="R21" s="27">
        <f t="shared" si="7"/>
        <v>0</v>
      </c>
      <c r="S21" s="23"/>
      <c r="T21" s="3"/>
    </row>
    <row r="22" spans="1:20" x14ac:dyDescent="0.25">
      <c r="A22" s="507" t="s">
        <v>409</v>
      </c>
      <c r="B22" s="507"/>
      <c r="C22" s="461"/>
      <c r="D22" s="461"/>
      <c r="E22" s="461"/>
      <c r="F22" s="461"/>
      <c r="G22" s="461"/>
      <c r="H22" s="461"/>
      <c r="I22" s="461"/>
      <c r="J22" s="158" t="s">
        <v>645</v>
      </c>
      <c r="K22" s="26">
        <f t="shared" si="0"/>
        <v>0</v>
      </c>
      <c r="L22" s="26">
        <f t="shared" si="1"/>
        <v>0</v>
      </c>
      <c r="M22" s="26">
        <f t="shared" si="2"/>
        <v>0</v>
      </c>
      <c r="N22" s="26">
        <f t="shared" si="3"/>
        <v>0</v>
      </c>
      <c r="O22" s="26">
        <f t="shared" si="4"/>
        <v>0</v>
      </c>
      <c r="P22" s="26">
        <f t="shared" si="5"/>
        <v>0</v>
      </c>
      <c r="Q22" s="26">
        <f t="shared" si="6"/>
        <v>0</v>
      </c>
      <c r="R22" s="27">
        <f t="shared" si="7"/>
        <v>0</v>
      </c>
      <c r="S22" s="23"/>
      <c r="T22" s="3"/>
    </row>
    <row r="23" spans="1:20" ht="12.5" customHeight="1" x14ac:dyDescent="0.25">
      <c r="A23" s="507" t="s">
        <v>69</v>
      </c>
      <c r="B23" s="507"/>
      <c r="C23" s="461"/>
      <c r="D23" s="461"/>
      <c r="E23" s="461"/>
      <c r="F23" s="461"/>
      <c r="G23" s="461"/>
      <c r="H23" s="461"/>
      <c r="I23" s="461"/>
      <c r="J23" s="158" t="s">
        <v>62</v>
      </c>
      <c r="K23" s="26">
        <f t="shared" si="0"/>
        <v>0</v>
      </c>
      <c r="L23" s="26">
        <f t="shared" si="1"/>
        <v>0</v>
      </c>
      <c r="M23" s="26">
        <f t="shared" si="2"/>
        <v>0</v>
      </c>
      <c r="N23" s="26">
        <f t="shared" si="3"/>
        <v>0</v>
      </c>
      <c r="O23" s="26">
        <f t="shared" si="4"/>
        <v>0</v>
      </c>
      <c r="P23" s="26">
        <f t="shared" si="5"/>
        <v>0</v>
      </c>
      <c r="Q23" s="26">
        <f t="shared" si="6"/>
        <v>0</v>
      </c>
      <c r="R23" s="27">
        <f t="shared" si="7"/>
        <v>0</v>
      </c>
      <c r="S23" s="23"/>
      <c r="T23" s="3"/>
    </row>
    <row r="24" spans="1:20" ht="12.5" customHeight="1" x14ac:dyDescent="0.3">
      <c r="A24" s="463" t="s">
        <v>683</v>
      </c>
      <c r="B24" s="462"/>
      <c r="C24" s="461"/>
      <c r="D24" s="461"/>
      <c r="E24" s="461"/>
      <c r="F24" s="461"/>
      <c r="G24" s="461"/>
      <c r="H24" s="461"/>
      <c r="I24" s="461"/>
      <c r="J24" s="464" t="s">
        <v>684</v>
      </c>
      <c r="K24" s="26">
        <f t="shared" si="0"/>
        <v>0</v>
      </c>
      <c r="L24" s="26">
        <f t="shared" si="1"/>
        <v>0</v>
      </c>
      <c r="M24" s="26">
        <f t="shared" si="2"/>
        <v>0</v>
      </c>
      <c r="N24" s="26">
        <f t="shared" si="3"/>
        <v>0</v>
      </c>
      <c r="O24" s="26">
        <f t="shared" si="4"/>
        <v>0</v>
      </c>
      <c r="P24" s="26">
        <f t="shared" si="5"/>
        <v>0</v>
      </c>
      <c r="Q24" s="26">
        <f t="shared" si="6"/>
        <v>0</v>
      </c>
      <c r="R24" s="27">
        <f t="shared" ref="R24" si="8">SUM(K24:Q24)</f>
        <v>0</v>
      </c>
      <c r="S24" s="23"/>
      <c r="T24" s="3"/>
    </row>
    <row r="25" spans="1:20" ht="12.5" customHeight="1" x14ac:dyDescent="0.25">
      <c r="A25" s="507" t="s">
        <v>144</v>
      </c>
      <c r="B25" s="507"/>
      <c r="C25" s="461"/>
      <c r="D25" s="461"/>
      <c r="E25" s="461"/>
      <c r="F25" s="461"/>
      <c r="G25" s="461"/>
      <c r="H25" s="461"/>
      <c r="I25" s="461"/>
      <c r="J25" s="158" t="s">
        <v>161</v>
      </c>
      <c r="K25" s="26">
        <f t="shared" si="0"/>
        <v>0</v>
      </c>
      <c r="L25" s="26">
        <f t="shared" si="1"/>
        <v>0</v>
      </c>
      <c r="M25" s="26">
        <f t="shared" si="2"/>
        <v>0</v>
      </c>
      <c r="N25" s="26">
        <f t="shared" si="3"/>
        <v>0</v>
      </c>
      <c r="O25" s="26">
        <f t="shared" si="4"/>
        <v>0</v>
      </c>
      <c r="P25" s="26">
        <f t="shared" si="5"/>
        <v>0</v>
      </c>
      <c r="Q25" s="26">
        <f t="shared" si="6"/>
        <v>0</v>
      </c>
      <c r="R25" s="27">
        <f t="shared" si="7"/>
        <v>0</v>
      </c>
      <c r="S25" s="23"/>
      <c r="T25" s="3"/>
    </row>
    <row r="26" spans="1:20" ht="12.5" customHeight="1" x14ac:dyDescent="0.25">
      <c r="A26" s="507" t="s">
        <v>410</v>
      </c>
      <c r="B26" s="507"/>
      <c r="C26" s="461"/>
      <c r="D26" s="461"/>
      <c r="E26" s="461"/>
      <c r="F26" s="461"/>
      <c r="G26" s="461"/>
      <c r="H26" s="461"/>
      <c r="I26" s="461"/>
      <c r="J26" s="158" t="s">
        <v>646</v>
      </c>
      <c r="K26" s="26">
        <f t="shared" si="0"/>
        <v>0</v>
      </c>
      <c r="L26" s="26">
        <f t="shared" si="1"/>
        <v>0</v>
      </c>
      <c r="M26" s="26">
        <f t="shared" si="2"/>
        <v>0</v>
      </c>
      <c r="N26" s="26">
        <f t="shared" si="3"/>
        <v>0</v>
      </c>
      <c r="O26" s="26">
        <f t="shared" si="4"/>
        <v>0</v>
      </c>
      <c r="P26" s="26">
        <f t="shared" si="5"/>
        <v>0</v>
      </c>
      <c r="Q26" s="26">
        <f t="shared" si="6"/>
        <v>0</v>
      </c>
      <c r="R26" s="27">
        <f t="shared" si="7"/>
        <v>0</v>
      </c>
      <c r="S26" s="23"/>
      <c r="T26" s="3"/>
    </row>
    <row r="27" spans="1:20" x14ac:dyDescent="0.25">
      <c r="A27" s="507" t="s">
        <v>411</v>
      </c>
      <c r="B27" s="507"/>
      <c r="C27" s="461"/>
      <c r="D27" s="461"/>
      <c r="E27" s="461"/>
      <c r="F27" s="461"/>
      <c r="G27" s="461"/>
      <c r="H27" s="461"/>
      <c r="I27" s="461"/>
      <c r="J27" s="158" t="s">
        <v>647</v>
      </c>
      <c r="K27" s="26">
        <f t="shared" si="0"/>
        <v>0</v>
      </c>
      <c r="L27" s="26">
        <f t="shared" si="1"/>
        <v>0</v>
      </c>
      <c r="M27" s="26">
        <f t="shared" si="2"/>
        <v>0</v>
      </c>
      <c r="N27" s="26">
        <f t="shared" si="3"/>
        <v>0</v>
      </c>
      <c r="O27" s="26">
        <f t="shared" si="4"/>
        <v>0</v>
      </c>
      <c r="P27" s="26">
        <f t="shared" si="5"/>
        <v>0</v>
      </c>
      <c r="Q27" s="26">
        <f t="shared" si="6"/>
        <v>0</v>
      </c>
      <c r="R27" s="27">
        <f t="shared" si="7"/>
        <v>0</v>
      </c>
      <c r="S27" s="23"/>
      <c r="T27" s="3"/>
    </row>
    <row r="28" spans="1:20" x14ac:dyDescent="0.25">
      <c r="A28" s="507" t="s">
        <v>412</v>
      </c>
      <c r="B28" s="507"/>
      <c r="C28" s="461"/>
      <c r="D28" s="461"/>
      <c r="E28" s="461"/>
      <c r="F28" s="461"/>
      <c r="G28" s="461"/>
      <c r="H28" s="461"/>
      <c r="I28" s="461"/>
      <c r="J28" s="158" t="s">
        <v>648</v>
      </c>
      <c r="K28" s="26">
        <f t="shared" si="0"/>
        <v>0</v>
      </c>
      <c r="L28" s="26">
        <f t="shared" si="1"/>
        <v>0</v>
      </c>
      <c r="M28" s="26">
        <f t="shared" si="2"/>
        <v>0</v>
      </c>
      <c r="N28" s="26">
        <f t="shared" si="3"/>
        <v>0</v>
      </c>
      <c r="O28" s="26">
        <f t="shared" si="4"/>
        <v>0</v>
      </c>
      <c r="P28" s="26">
        <f t="shared" si="5"/>
        <v>0</v>
      </c>
      <c r="Q28" s="26">
        <f t="shared" si="6"/>
        <v>0</v>
      </c>
      <c r="R28" s="27">
        <f t="shared" si="7"/>
        <v>0</v>
      </c>
      <c r="S28" s="23"/>
      <c r="T28" s="3"/>
    </row>
    <row r="29" spans="1:20" x14ac:dyDescent="0.25">
      <c r="A29" s="507" t="s">
        <v>98</v>
      </c>
      <c r="B29" s="507"/>
      <c r="C29" s="461"/>
      <c r="D29" s="461"/>
      <c r="E29" s="461"/>
      <c r="F29" s="461"/>
      <c r="G29" s="461"/>
      <c r="H29" s="461"/>
      <c r="I29" s="461"/>
      <c r="J29" s="158" t="s">
        <v>99</v>
      </c>
      <c r="K29" s="26">
        <f t="shared" si="0"/>
        <v>0</v>
      </c>
      <c r="L29" s="26">
        <f t="shared" si="1"/>
        <v>0</v>
      </c>
      <c r="M29" s="26">
        <f t="shared" si="2"/>
        <v>0</v>
      </c>
      <c r="N29" s="26">
        <f t="shared" si="3"/>
        <v>0</v>
      </c>
      <c r="O29" s="26">
        <f t="shared" si="4"/>
        <v>0</v>
      </c>
      <c r="P29" s="26">
        <f t="shared" si="5"/>
        <v>0</v>
      </c>
      <c r="Q29" s="26">
        <f t="shared" si="6"/>
        <v>0</v>
      </c>
      <c r="R29" s="27">
        <f t="shared" si="7"/>
        <v>0</v>
      </c>
      <c r="S29" s="23"/>
      <c r="T29" s="3"/>
    </row>
    <row r="30" spans="1:20" x14ac:dyDescent="0.25">
      <c r="A30" s="507" t="s">
        <v>413</v>
      </c>
      <c r="B30" s="507"/>
      <c r="C30" s="461"/>
      <c r="D30" s="461"/>
      <c r="E30" s="461"/>
      <c r="F30" s="461"/>
      <c r="G30" s="461"/>
      <c r="H30" s="461"/>
      <c r="I30" s="461"/>
      <c r="J30" s="158" t="s">
        <v>649</v>
      </c>
      <c r="K30" s="26">
        <f t="shared" si="0"/>
        <v>0</v>
      </c>
      <c r="L30" s="26">
        <f t="shared" si="1"/>
        <v>0</v>
      </c>
      <c r="M30" s="26">
        <f t="shared" si="2"/>
        <v>0</v>
      </c>
      <c r="N30" s="26">
        <f t="shared" si="3"/>
        <v>0</v>
      </c>
      <c r="O30" s="26">
        <f t="shared" si="4"/>
        <v>0</v>
      </c>
      <c r="P30" s="26">
        <f t="shared" si="5"/>
        <v>0</v>
      </c>
      <c r="Q30" s="26">
        <f t="shared" si="6"/>
        <v>0</v>
      </c>
      <c r="R30" s="27">
        <f t="shared" si="7"/>
        <v>0</v>
      </c>
      <c r="S30" s="23"/>
      <c r="T30" s="3"/>
    </row>
    <row r="31" spans="1:20" s="5" customFormat="1" x14ac:dyDescent="0.25">
      <c r="A31" s="507" t="s">
        <v>414</v>
      </c>
      <c r="B31" s="507"/>
      <c r="C31" s="461"/>
      <c r="D31" s="461"/>
      <c r="E31" s="461"/>
      <c r="F31" s="461"/>
      <c r="G31" s="461"/>
      <c r="H31" s="461"/>
      <c r="I31" s="461"/>
      <c r="J31" s="158" t="s">
        <v>173</v>
      </c>
      <c r="K31" s="57">
        <f t="shared" si="0"/>
        <v>0</v>
      </c>
      <c r="L31" s="57">
        <f t="shared" si="1"/>
        <v>0</v>
      </c>
      <c r="M31" s="57">
        <f t="shared" si="2"/>
        <v>0</v>
      </c>
      <c r="N31" s="26">
        <f t="shared" si="3"/>
        <v>0</v>
      </c>
      <c r="O31" s="26">
        <f t="shared" si="4"/>
        <v>0</v>
      </c>
      <c r="P31" s="26">
        <f t="shared" si="5"/>
        <v>0</v>
      </c>
      <c r="Q31" s="26">
        <f t="shared" si="6"/>
        <v>0</v>
      </c>
      <c r="R31" s="27">
        <f t="shared" si="7"/>
        <v>0</v>
      </c>
      <c r="S31" s="58"/>
      <c r="T31" s="59"/>
    </row>
    <row r="32" spans="1:20" x14ac:dyDescent="0.25">
      <c r="A32" s="507" t="s">
        <v>156</v>
      </c>
      <c r="B32" s="507"/>
      <c r="C32" s="461"/>
      <c r="D32" s="461"/>
      <c r="E32" s="461"/>
      <c r="F32" s="461"/>
      <c r="G32" s="461"/>
      <c r="H32" s="461"/>
      <c r="I32" s="461"/>
      <c r="J32" s="158" t="s">
        <v>650</v>
      </c>
      <c r="K32" s="26">
        <f t="shared" si="0"/>
        <v>0</v>
      </c>
      <c r="L32" s="26">
        <f t="shared" si="1"/>
        <v>0</v>
      </c>
      <c r="M32" s="26">
        <f t="shared" si="2"/>
        <v>0</v>
      </c>
      <c r="N32" s="26">
        <f t="shared" si="3"/>
        <v>0</v>
      </c>
      <c r="O32" s="26">
        <f t="shared" si="4"/>
        <v>0</v>
      </c>
      <c r="P32" s="26">
        <f t="shared" si="5"/>
        <v>0</v>
      </c>
      <c r="Q32" s="26">
        <f t="shared" si="6"/>
        <v>0</v>
      </c>
      <c r="R32" s="27">
        <f t="shared" si="7"/>
        <v>0</v>
      </c>
      <c r="S32" s="23"/>
      <c r="T32" s="3"/>
    </row>
    <row r="33" spans="1:20" x14ac:dyDescent="0.25">
      <c r="A33" s="507" t="s">
        <v>415</v>
      </c>
      <c r="B33" s="507"/>
      <c r="C33" s="461"/>
      <c r="D33" s="461"/>
      <c r="E33" s="461"/>
      <c r="F33" s="461"/>
      <c r="G33" s="461"/>
      <c r="H33" s="461"/>
      <c r="I33" s="461"/>
      <c r="J33" s="158" t="s">
        <v>651</v>
      </c>
      <c r="K33" s="26">
        <f t="shared" si="0"/>
        <v>0</v>
      </c>
      <c r="L33" s="26">
        <f t="shared" si="1"/>
        <v>0</v>
      </c>
      <c r="M33" s="26">
        <f t="shared" si="2"/>
        <v>0</v>
      </c>
      <c r="N33" s="26">
        <f t="shared" si="3"/>
        <v>0</v>
      </c>
      <c r="O33" s="26">
        <f t="shared" si="4"/>
        <v>0</v>
      </c>
      <c r="P33" s="26">
        <f t="shared" si="5"/>
        <v>0</v>
      </c>
      <c r="Q33" s="26">
        <f t="shared" si="6"/>
        <v>0</v>
      </c>
      <c r="R33" s="27">
        <f t="shared" si="7"/>
        <v>0</v>
      </c>
      <c r="S33" s="23"/>
      <c r="T33" s="3"/>
    </row>
    <row r="34" spans="1:20" x14ac:dyDescent="0.25">
      <c r="A34" s="507" t="s">
        <v>416</v>
      </c>
      <c r="B34" s="507"/>
      <c r="C34" s="461"/>
      <c r="D34" s="461"/>
      <c r="E34" s="461"/>
      <c r="F34" s="461"/>
      <c r="G34" s="461"/>
      <c r="H34" s="461"/>
      <c r="I34" s="461"/>
      <c r="J34" s="459" t="s">
        <v>681</v>
      </c>
      <c r="K34" s="26">
        <f t="shared" si="0"/>
        <v>0</v>
      </c>
      <c r="L34" s="26">
        <f t="shared" si="1"/>
        <v>0</v>
      </c>
      <c r="M34" s="26">
        <f t="shared" si="2"/>
        <v>0</v>
      </c>
      <c r="N34" s="26">
        <f t="shared" si="3"/>
        <v>0</v>
      </c>
      <c r="O34" s="26">
        <f t="shared" si="4"/>
        <v>0</v>
      </c>
      <c r="P34" s="26">
        <f t="shared" si="5"/>
        <v>0</v>
      </c>
      <c r="Q34" s="26">
        <f t="shared" si="6"/>
        <v>0</v>
      </c>
      <c r="R34" s="27">
        <f t="shared" si="7"/>
        <v>0</v>
      </c>
      <c r="S34" s="23"/>
      <c r="T34" s="3"/>
    </row>
    <row r="35" spans="1:20" x14ac:dyDescent="0.25">
      <c r="A35" s="507" t="s">
        <v>417</v>
      </c>
      <c r="B35" s="507"/>
      <c r="C35" s="461"/>
      <c r="D35" s="461"/>
      <c r="E35" s="461"/>
      <c r="F35" s="461"/>
      <c r="G35" s="461"/>
      <c r="H35" s="461"/>
      <c r="I35" s="461"/>
      <c r="J35" s="159" t="s">
        <v>652</v>
      </c>
      <c r="K35" s="26">
        <f t="shared" si="0"/>
        <v>0</v>
      </c>
      <c r="L35" s="26">
        <f t="shared" si="1"/>
        <v>0</v>
      </c>
      <c r="M35" s="26">
        <f t="shared" si="2"/>
        <v>0</v>
      </c>
      <c r="N35" s="26">
        <f t="shared" si="3"/>
        <v>0</v>
      </c>
      <c r="O35" s="26">
        <f t="shared" si="4"/>
        <v>0</v>
      </c>
      <c r="P35" s="26">
        <f t="shared" si="5"/>
        <v>0</v>
      </c>
      <c r="Q35" s="26">
        <f t="shared" si="6"/>
        <v>0</v>
      </c>
      <c r="R35" s="27">
        <f t="shared" si="7"/>
        <v>0</v>
      </c>
      <c r="S35" s="23"/>
      <c r="T35" s="3"/>
    </row>
    <row r="36" spans="1:20" x14ac:dyDescent="0.25">
      <c r="A36" s="507" t="s">
        <v>153</v>
      </c>
      <c r="B36" s="507"/>
      <c r="C36" s="461"/>
      <c r="D36" s="461"/>
      <c r="E36" s="461"/>
      <c r="F36" s="461"/>
      <c r="G36" s="461"/>
      <c r="H36" s="461"/>
      <c r="I36" s="461"/>
      <c r="J36" s="459" t="s">
        <v>169</v>
      </c>
      <c r="K36" s="26">
        <f t="shared" si="0"/>
        <v>0</v>
      </c>
      <c r="L36" s="26">
        <f t="shared" si="1"/>
        <v>0</v>
      </c>
      <c r="M36" s="26">
        <f t="shared" si="2"/>
        <v>0</v>
      </c>
      <c r="N36" s="26">
        <f t="shared" si="3"/>
        <v>0</v>
      </c>
      <c r="O36" s="26">
        <f t="shared" si="4"/>
        <v>0</v>
      </c>
      <c r="P36" s="26">
        <f t="shared" si="5"/>
        <v>0</v>
      </c>
      <c r="Q36" s="26">
        <f t="shared" si="6"/>
        <v>0</v>
      </c>
      <c r="R36" s="27">
        <f t="shared" si="7"/>
        <v>0</v>
      </c>
      <c r="S36" s="23"/>
      <c r="T36" s="3"/>
    </row>
    <row r="37" spans="1:20" ht="12.5" customHeight="1" x14ac:dyDescent="0.25">
      <c r="A37" s="507" t="s">
        <v>418</v>
      </c>
      <c r="B37" s="507"/>
      <c r="C37" s="461"/>
      <c r="D37" s="461"/>
      <c r="E37" s="461"/>
      <c r="F37" s="461"/>
      <c r="G37" s="461"/>
      <c r="H37" s="461"/>
      <c r="I37" s="461"/>
      <c r="J37" s="459" t="s">
        <v>653</v>
      </c>
      <c r="K37" s="26">
        <f t="shared" si="0"/>
        <v>0</v>
      </c>
      <c r="L37" s="26">
        <f t="shared" si="1"/>
        <v>0</v>
      </c>
      <c r="M37" s="26">
        <f t="shared" si="2"/>
        <v>0</v>
      </c>
      <c r="N37" s="26">
        <f t="shared" si="3"/>
        <v>0</v>
      </c>
      <c r="O37" s="26">
        <f t="shared" si="4"/>
        <v>0</v>
      </c>
      <c r="P37" s="26">
        <f t="shared" si="5"/>
        <v>0</v>
      </c>
      <c r="Q37" s="26">
        <f t="shared" si="6"/>
        <v>0</v>
      </c>
      <c r="R37" s="27">
        <f t="shared" si="7"/>
        <v>0</v>
      </c>
      <c r="S37" s="23"/>
      <c r="T37" s="3"/>
    </row>
    <row r="38" spans="1:20" ht="12.5" customHeight="1" x14ac:dyDescent="0.3">
      <c r="A38" s="486" t="s">
        <v>701</v>
      </c>
      <c r="B38" s="484"/>
      <c r="C38" s="485"/>
      <c r="D38" s="485"/>
      <c r="E38" s="485"/>
      <c r="F38" s="485"/>
      <c r="G38" s="485"/>
      <c r="H38" s="485"/>
      <c r="I38" s="485"/>
      <c r="J38" s="487" t="s">
        <v>702</v>
      </c>
      <c r="K38" s="26">
        <f t="shared" si="0"/>
        <v>0</v>
      </c>
      <c r="L38" s="26">
        <f t="shared" si="1"/>
        <v>0</v>
      </c>
      <c r="M38" s="26">
        <f t="shared" si="2"/>
        <v>0</v>
      </c>
      <c r="N38" s="26">
        <f t="shared" si="3"/>
        <v>0</v>
      </c>
      <c r="O38" s="26">
        <f t="shared" si="4"/>
        <v>0</v>
      </c>
      <c r="P38" s="26">
        <f t="shared" si="5"/>
        <v>0</v>
      </c>
      <c r="Q38" s="26">
        <f t="shared" si="6"/>
        <v>0</v>
      </c>
      <c r="R38" s="27">
        <f t="shared" ref="R38" si="9">SUM(K38:Q38)</f>
        <v>0</v>
      </c>
      <c r="S38" s="23"/>
      <c r="T38" s="3"/>
    </row>
    <row r="39" spans="1:20" ht="12.5" customHeight="1" x14ac:dyDescent="0.25">
      <c r="A39" s="507" t="s">
        <v>226</v>
      </c>
      <c r="B39" s="507"/>
      <c r="C39" s="461"/>
      <c r="D39" s="461"/>
      <c r="E39" s="461"/>
      <c r="F39" s="461"/>
      <c r="G39" s="461"/>
      <c r="H39" s="461"/>
      <c r="I39" s="461"/>
      <c r="J39" s="459" t="s">
        <v>170</v>
      </c>
      <c r="K39" s="26">
        <f t="shared" si="0"/>
        <v>0</v>
      </c>
      <c r="L39" s="26">
        <f t="shared" si="1"/>
        <v>0</v>
      </c>
      <c r="M39" s="26">
        <f t="shared" si="2"/>
        <v>0</v>
      </c>
      <c r="N39" s="26">
        <f t="shared" si="3"/>
        <v>0</v>
      </c>
      <c r="O39" s="26">
        <f t="shared" si="4"/>
        <v>0</v>
      </c>
      <c r="P39" s="26">
        <f t="shared" si="5"/>
        <v>0</v>
      </c>
      <c r="Q39" s="26">
        <f t="shared" si="6"/>
        <v>0</v>
      </c>
      <c r="R39" s="27">
        <f t="shared" si="7"/>
        <v>0</v>
      </c>
      <c r="S39" s="23"/>
      <c r="T39" s="3"/>
    </row>
    <row r="40" spans="1:20" x14ac:dyDescent="0.25">
      <c r="A40" s="507" t="s">
        <v>419</v>
      </c>
      <c r="B40" s="507"/>
      <c r="C40" s="461"/>
      <c r="D40" s="461"/>
      <c r="E40" s="461"/>
      <c r="F40" s="461"/>
      <c r="G40" s="461"/>
      <c r="H40" s="461"/>
      <c r="I40" s="461"/>
      <c r="J40" s="459" t="s">
        <v>654</v>
      </c>
      <c r="K40" s="26">
        <f t="shared" si="0"/>
        <v>0</v>
      </c>
      <c r="L40" s="26">
        <f t="shared" si="1"/>
        <v>0</v>
      </c>
      <c r="M40" s="26">
        <f t="shared" si="2"/>
        <v>0</v>
      </c>
      <c r="N40" s="26">
        <f t="shared" si="3"/>
        <v>0</v>
      </c>
      <c r="O40" s="26">
        <f t="shared" si="4"/>
        <v>0</v>
      </c>
      <c r="P40" s="26">
        <f t="shared" si="5"/>
        <v>0</v>
      </c>
      <c r="Q40" s="26">
        <f t="shared" si="6"/>
        <v>0</v>
      </c>
      <c r="R40" s="27">
        <f t="shared" si="7"/>
        <v>0</v>
      </c>
      <c r="S40" s="23"/>
      <c r="T40" s="3"/>
    </row>
    <row r="41" spans="1:20" ht="12.5" customHeight="1" x14ac:dyDescent="0.25">
      <c r="A41" s="507" t="s">
        <v>154</v>
      </c>
      <c r="B41" s="507"/>
      <c r="C41" s="461"/>
      <c r="D41" s="461"/>
      <c r="E41" s="461"/>
      <c r="F41" s="461"/>
      <c r="G41" s="461"/>
      <c r="H41" s="461"/>
      <c r="I41" s="461"/>
      <c r="J41" s="459" t="s">
        <v>171</v>
      </c>
      <c r="K41" s="26">
        <f t="shared" si="0"/>
        <v>0</v>
      </c>
      <c r="L41" s="26">
        <f t="shared" si="1"/>
        <v>0</v>
      </c>
      <c r="M41" s="26">
        <f t="shared" si="2"/>
        <v>0</v>
      </c>
      <c r="N41" s="26">
        <f t="shared" si="3"/>
        <v>0</v>
      </c>
      <c r="O41" s="26">
        <f t="shared" si="4"/>
        <v>0</v>
      </c>
      <c r="P41" s="26">
        <f t="shared" si="5"/>
        <v>0</v>
      </c>
      <c r="Q41" s="26">
        <f t="shared" si="6"/>
        <v>0</v>
      </c>
      <c r="R41" s="27">
        <f t="shared" si="7"/>
        <v>0</v>
      </c>
      <c r="S41" s="23"/>
      <c r="T41" s="3"/>
    </row>
    <row r="42" spans="1:20" x14ac:dyDescent="0.25">
      <c r="A42" s="507" t="s">
        <v>145</v>
      </c>
      <c r="B42" s="507"/>
      <c r="C42" s="461"/>
      <c r="D42" s="461"/>
      <c r="E42" s="461"/>
      <c r="F42" s="461"/>
      <c r="G42" s="461"/>
      <c r="H42" s="461"/>
      <c r="I42" s="461"/>
      <c r="J42" s="459" t="s">
        <v>162</v>
      </c>
      <c r="K42" s="26">
        <f t="shared" ref="K42:K62" si="10">SUM($D$80*C42)</f>
        <v>0</v>
      </c>
      <c r="L42" s="26">
        <f t="shared" ref="L42:L62" si="11">SUM($D$81*D42)</f>
        <v>0</v>
      </c>
      <c r="M42" s="26">
        <f t="shared" ref="M42:M62" si="12">SUM($D$82*E42)</f>
        <v>0</v>
      </c>
      <c r="N42" s="26">
        <f t="shared" ref="N42:N62" si="13">SUM($D$83*F42)</f>
        <v>0</v>
      </c>
      <c r="O42" s="26">
        <f t="shared" ref="O42:O62" si="14">SUM($D$84*G42)</f>
        <v>0</v>
      </c>
      <c r="P42" s="26">
        <f t="shared" ref="P42:P62" si="15">SUM($D$85*H42)</f>
        <v>0</v>
      </c>
      <c r="Q42" s="26">
        <f t="shared" ref="Q42:Q62" si="16">SUM($D$86*I42)</f>
        <v>0</v>
      </c>
      <c r="R42" s="27">
        <f t="shared" si="7"/>
        <v>0</v>
      </c>
      <c r="S42" s="23"/>
      <c r="T42" s="3"/>
    </row>
    <row r="43" spans="1:20" x14ac:dyDescent="0.25">
      <c r="A43" s="507" t="s">
        <v>100</v>
      </c>
      <c r="B43" s="507"/>
      <c r="C43" s="461"/>
      <c r="D43" s="461"/>
      <c r="E43" s="461"/>
      <c r="F43" s="461"/>
      <c r="G43" s="461"/>
      <c r="H43" s="461"/>
      <c r="I43" s="461"/>
      <c r="J43" s="459" t="s">
        <v>655</v>
      </c>
      <c r="K43" s="26">
        <f t="shared" si="10"/>
        <v>0</v>
      </c>
      <c r="L43" s="26">
        <f t="shared" si="11"/>
        <v>0</v>
      </c>
      <c r="M43" s="26">
        <f t="shared" si="12"/>
        <v>0</v>
      </c>
      <c r="N43" s="26">
        <f t="shared" si="13"/>
        <v>0</v>
      </c>
      <c r="O43" s="26">
        <f t="shared" si="14"/>
        <v>0</v>
      </c>
      <c r="P43" s="26">
        <f t="shared" si="15"/>
        <v>0</v>
      </c>
      <c r="Q43" s="26">
        <f t="shared" si="16"/>
        <v>0</v>
      </c>
      <c r="R43" s="27">
        <f t="shared" si="7"/>
        <v>0</v>
      </c>
      <c r="S43" s="23"/>
      <c r="T43" s="3"/>
    </row>
    <row r="44" spans="1:20" x14ac:dyDescent="0.25">
      <c r="A44" s="507" t="s">
        <v>420</v>
      </c>
      <c r="B44" s="507"/>
      <c r="C44" s="461"/>
      <c r="D44" s="461"/>
      <c r="E44" s="461"/>
      <c r="F44" s="461"/>
      <c r="G44" s="461"/>
      <c r="H44" s="461"/>
      <c r="I44" s="461"/>
      <c r="J44" s="459" t="s">
        <v>656</v>
      </c>
      <c r="K44" s="26">
        <f t="shared" si="10"/>
        <v>0</v>
      </c>
      <c r="L44" s="26">
        <f t="shared" si="11"/>
        <v>0</v>
      </c>
      <c r="M44" s="26">
        <f t="shared" si="12"/>
        <v>0</v>
      </c>
      <c r="N44" s="26">
        <f t="shared" si="13"/>
        <v>0</v>
      </c>
      <c r="O44" s="26">
        <f t="shared" si="14"/>
        <v>0</v>
      </c>
      <c r="P44" s="26">
        <f t="shared" si="15"/>
        <v>0</v>
      </c>
      <c r="Q44" s="26">
        <f t="shared" si="16"/>
        <v>0</v>
      </c>
      <c r="R44" s="27">
        <f t="shared" si="7"/>
        <v>0</v>
      </c>
      <c r="S44" s="23"/>
      <c r="T44" s="3"/>
    </row>
    <row r="45" spans="1:20" x14ac:dyDescent="0.25">
      <c r="A45" s="507" t="s">
        <v>421</v>
      </c>
      <c r="B45" s="507"/>
      <c r="C45" s="461"/>
      <c r="D45" s="461"/>
      <c r="E45" s="461"/>
      <c r="F45" s="461"/>
      <c r="G45" s="461"/>
      <c r="H45" s="461"/>
      <c r="I45" s="461"/>
      <c r="J45" s="459" t="s">
        <v>657</v>
      </c>
      <c r="K45" s="26">
        <f t="shared" si="10"/>
        <v>0</v>
      </c>
      <c r="L45" s="26">
        <f t="shared" si="11"/>
        <v>0</v>
      </c>
      <c r="M45" s="26">
        <f t="shared" si="12"/>
        <v>0</v>
      </c>
      <c r="N45" s="26">
        <f t="shared" si="13"/>
        <v>0</v>
      </c>
      <c r="O45" s="26">
        <f t="shared" si="14"/>
        <v>0</v>
      </c>
      <c r="P45" s="26">
        <f t="shared" si="15"/>
        <v>0</v>
      </c>
      <c r="Q45" s="26">
        <f t="shared" si="16"/>
        <v>0</v>
      </c>
      <c r="R45" s="27">
        <f t="shared" si="7"/>
        <v>0</v>
      </c>
      <c r="S45" s="23"/>
      <c r="T45" s="3"/>
    </row>
    <row r="46" spans="1:20" x14ac:dyDescent="0.25">
      <c r="A46" s="507" t="s">
        <v>155</v>
      </c>
      <c r="B46" s="507"/>
      <c r="C46" s="461"/>
      <c r="D46" s="461"/>
      <c r="E46" s="461"/>
      <c r="F46" s="461"/>
      <c r="G46" s="461"/>
      <c r="H46" s="461"/>
      <c r="I46" s="461"/>
      <c r="J46" s="459" t="s">
        <v>172</v>
      </c>
      <c r="K46" s="26">
        <f t="shared" si="10"/>
        <v>0</v>
      </c>
      <c r="L46" s="26">
        <f t="shared" si="11"/>
        <v>0</v>
      </c>
      <c r="M46" s="26">
        <f t="shared" si="12"/>
        <v>0</v>
      </c>
      <c r="N46" s="26">
        <f t="shared" si="13"/>
        <v>0</v>
      </c>
      <c r="O46" s="26">
        <f t="shared" si="14"/>
        <v>0</v>
      </c>
      <c r="P46" s="26">
        <f t="shared" si="15"/>
        <v>0</v>
      </c>
      <c r="Q46" s="26">
        <f t="shared" si="16"/>
        <v>0</v>
      </c>
      <c r="R46" s="27">
        <f t="shared" si="7"/>
        <v>0</v>
      </c>
      <c r="S46" s="23"/>
      <c r="T46" s="3"/>
    </row>
    <row r="47" spans="1:20" x14ac:dyDescent="0.25">
      <c r="A47" s="507" t="s">
        <v>422</v>
      </c>
      <c r="B47" s="507"/>
      <c r="C47" s="461"/>
      <c r="D47" s="461"/>
      <c r="E47" s="461"/>
      <c r="F47" s="461"/>
      <c r="G47" s="461"/>
      <c r="H47" s="461"/>
      <c r="I47" s="461"/>
      <c r="J47" s="459" t="s">
        <v>118</v>
      </c>
      <c r="K47" s="26">
        <f t="shared" si="10"/>
        <v>0</v>
      </c>
      <c r="L47" s="26">
        <f t="shared" si="11"/>
        <v>0</v>
      </c>
      <c r="M47" s="26">
        <f t="shared" si="12"/>
        <v>0</v>
      </c>
      <c r="N47" s="26">
        <f t="shared" si="13"/>
        <v>0</v>
      </c>
      <c r="O47" s="26">
        <f t="shared" si="14"/>
        <v>0</v>
      </c>
      <c r="P47" s="26">
        <f t="shared" si="15"/>
        <v>0</v>
      </c>
      <c r="Q47" s="26">
        <f t="shared" si="16"/>
        <v>0</v>
      </c>
      <c r="R47" s="27">
        <f t="shared" si="7"/>
        <v>0</v>
      </c>
      <c r="S47" s="23"/>
      <c r="T47" s="3"/>
    </row>
    <row r="48" spans="1:20" x14ac:dyDescent="0.25">
      <c r="A48" s="507" t="s">
        <v>146</v>
      </c>
      <c r="B48" s="507"/>
      <c r="C48" s="461"/>
      <c r="D48" s="461"/>
      <c r="E48" s="461"/>
      <c r="F48" s="461"/>
      <c r="G48" s="461"/>
      <c r="H48" s="461"/>
      <c r="I48" s="461"/>
      <c r="J48" s="459" t="s">
        <v>658</v>
      </c>
      <c r="K48" s="26">
        <f t="shared" si="10"/>
        <v>0</v>
      </c>
      <c r="L48" s="26">
        <f t="shared" si="11"/>
        <v>0</v>
      </c>
      <c r="M48" s="26">
        <f t="shared" si="12"/>
        <v>0</v>
      </c>
      <c r="N48" s="26">
        <f t="shared" si="13"/>
        <v>0</v>
      </c>
      <c r="O48" s="26">
        <f t="shared" si="14"/>
        <v>0</v>
      </c>
      <c r="P48" s="26">
        <f t="shared" si="15"/>
        <v>0</v>
      </c>
      <c r="Q48" s="26">
        <f t="shared" si="16"/>
        <v>0</v>
      </c>
      <c r="R48" s="27">
        <f t="shared" si="7"/>
        <v>0</v>
      </c>
      <c r="S48" s="23"/>
      <c r="T48" s="3"/>
    </row>
    <row r="49" spans="1:20" x14ac:dyDescent="0.25">
      <c r="A49" s="507" t="s">
        <v>423</v>
      </c>
      <c r="B49" s="507"/>
      <c r="C49" s="461"/>
      <c r="D49" s="461"/>
      <c r="E49" s="461"/>
      <c r="F49" s="461"/>
      <c r="G49" s="461"/>
      <c r="H49" s="461"/>
      <c r="I49" s="461"/>
      <c r="J49" s="459" t="s">
        <v>163</v>
      </c>
      <c r="K49" s="26">
        <f t="shared" si="10"/>
        <v>0</v>
      </c>
      <c r="L49" s="26">
        <f t="shared" si="11"/>
        <v>0</v>
      </c>
      <c r="M49" s="26">
        <f t="shared" si="12"/>
        <v>0</v>
      </c>
      <c r="N49" s="26">
        <f t="shared" si="13"/>
        <v>0</v>
      </c>
      <c r="O49" s="26">
        <f t="shared" si="14"/>
        <v>0</v>
      </c>
      <c r="P49" s="26">
        <f t="shared" si="15"/>
        <v>0</v>
      </c>
      <c r="Q49" s="26">
        <f t="shared" si="16"/>
        <v>0</v>
      </c>
      <c r="R49" s="27">
        <f t="shared" si="7"/>
        <v>0</v>
      </c>
      <c r="S49" s="23"/>
      <c r="T49" s="3"/>
    </row>
    <row r="50" spans="1:20" x14ac:dyDescent="0.25">
      <c r="A50" s="507" t="s">
        <v>147</v>
      </c>
      <c r="B50" s="507"/>
      <c r="C50" s="461"/>
      <c r="D50" s="461"/>
      <c r="E50" s="461"/>
      <c r="F50" s="461"/>
      <c r="G50" s="461"/>
      <c r="H50" s="461"/>
      <c r="I50" s="461"/>
      <c r="J50" s="459" t="s">
        <v>164</v>
      </c>
      <c r="K50" s="26">
        <f t="shared" si="10"/>
        <v>0</v>
      </c>
      <c r="L50" s="26">
        <f t="shared" si="11"/>
        <v>0</v>
      </c>
      <c r="M50" s="26">
        <f t="shared" si="12"/>
        <v>0</v>
      </c>
      <c r="N50" s="26">
        <f t="shared" si="13"/>
        <v>0</v>
      </c>
      <c r="O50" s="26">
        <f t="shared" si="14"/>
        <v>0</v>
      </c>
      <c r="P50" s="26">
        <f t="shared" si="15"/>
        <v>0</v>
      </c>
      <c r="Q50" s="26">
        <f t="shared" si="16"/>
        <v>0</v>
      </c>
      <c r="R50" s="27">
        <f t="shared" si="7"/>
        <v>0</v>
      </c>
      <c r="S50" s="23"/>
      <c r="T50" s="3"/>
    </row>
    <row r="51" spans="1:20" x14ac:dyDescent="0.25">
      <c r="A51" s="507" t="s">
        <v>148</v>
      </c>
      <c r="B51" s="507"/>
      <c r="C51" s="461"/>
      <c r="D51" s="461"/>
      <c r="E51" s="461"/>
      <c r="F51" s="461"/>
      <c r="G51" s="461"/>
      <c r="H51" s="461"/>
      <c r="I51" s="461"/>
      <c r="J51" s="459" t="s">
        <v>165</v>
      </c>
      <c r="K51" s="26">
        <f t="shared" si="10"/>
        <v>0</v>
      </c>
      <c r="L51" s="26">
        <f t="shared" si="11"/>
        <v>0</v>
      </c>
      <c r="M51" s="26">
        <f t="shared" si="12"/>
        <v>0</v>
      </c>
      <c r="N51" s="26">
        <f t="shared" si="13"/>
        <v>0</v>
      </c>
      <c r="O51" s="26">
        <f t="shared" si="14"/>
        <v>0</v>
      </c>
      <c r="P51" s="26">
        <f t="shared" si="15"/>
        <v>0</v>
      </c>
      <c r="Q51" s="26">
        <f t="shared" si="16"/>
        <v>0</v>
      </c>
      <c r="R51" s="27">
        <f t="shared" si="7"/>
        <v>0</v>
      </c>
      <c r="S51" s="23"/>
      <c r="T51" s="3"/>
    </row>
    <row r="52" spans="1:20" x14ac:dyDescent="0.25">
      <c r="A52" s="505" t="s">
        <v>101</v>
      </c>
      <c r="B52" s="505"/>
      <c r="C52" s="461"/>
      <c r="D52" s="461"/>
      <c r="E52" s="461"/>
      <c r="F52" s="461"/>
      <c r="G52" s="461"/>
      <c r="H52" s="461"/>
      <c r="I52" s="461"/>
      <c r="J52" s="459" t="s">
        <v>102</v>
      </c>
      <c r="K52" s="26">
        <f t="shared" si="10"/>
        <v>0</v>
      </c>
      <c r="L52" s="26">
        <f t="shared" si="11"/>
        <v>0</v>
      </c>
      <c r="M52" s="26">
        <f t="shared" si="12"/>
        <v>0</v>
      </c>
      <c r="N52" s="26">
        <f t="shared" si="13"/>
        <v>0</v>
      </c>
      <c r="O52" s="26">
        <f t="shared" si="14"/>
        <v>0</v>
      </c>
      <c r="P52" s="26">
        <f t="shared" si="15"/>
        <v>0</v>
      </c>
      <c r="Q52" s="26">
        <f t="shared" si="16"/>
        <v>0</v>
      </c>
      <c r="R52" s="27">
        <f t="shared" si="7"/>
        <v>0</v>
      </c>
      <c r="S52" s="23"/>
      <c r="T52" s="3"/>
    </row>
    <row r="53" spans="1:20" ht="14" x14ac:dyDescent="0.3">
      <c r="A53" s="483" t="s">
        <v>699</v>
      </c>
      <c r="B53" s="484"/>
      <c r="C53" s="485"/>
      <c r="D53" s="485"/>
      <c r="E53" s="485"/>
      <c r="F53" s="485"/>
      <c r="G53" s="485"/>
      <c r="H53" s="485"/>
      <c r="I53" s="485"/>
      <c r="J53" s="488" t="s">
        <v>700</v>
      </c>
      <c r="K53" s="26">
        <f t="shared" si="10"/>
        <v>0</v>
      </c>
      <c r="L53" s="26">
        <f t="shared" si="11"/>
        <v>0</v>
      </c>
      <c r="M53" s="26">
        <f t="shared" si="12"/>
        <v>0</v>
      </c>
      <c r="N53" s="26">
        <f t="shared" si="13"/>
        <v>0</v>
      </c>
      <c r="O53" s="26">
        <f t="shared" si="14"/>
        <v>0</v>
      </c>
      <c r="P53" s="26">
        <f t="shared" si="15"/>
        <v>0</v>
      </c>
      <c r="Q53" s="26">
        <f t="shared" si="16"/>
        <v>0</v>
      </c>
      <c r="R53" s="27">
        <f t="shared" ref="R53" si="17">SUM(K53:Q53)</f>
        <v>0</v>
      </c>
      <c r="S53" s="23"/>
      <c r="T53" s="3"/>
    </row>
    <row r="54" spans="1:20" x14ac:dyDescent="0.25">
      <c r="A54" s="505" t="s">
        <v>149</v>
      </c>
      <c r="B54" s="505"/>
      <c r="C54" s="461"/>
      <c r="D54" s="461"/>
      <c r="E54" s="461"/>
      <c r="F54" s="461"/>
      <c r="G54" s="461"/>
      <c r="H54" s="461"/>
      <c r="I54" s="461"/>
      <c r="J54" s="459" t="s">
        <v>659</v>
      </c>
      <c r="K54" s="26">
        <f t="shared" si="10"/>
        <v>0</v>
      </c>
      <c r="L54" s="26">
        <f t="shared" si="11"/>
        <v>0</v>
      </c>
      <c r="M54" s="26">
        <f t="shared" si="12"/>
        <v>0</v>
      </c>
      <c r="N54" s="26">
        <f t="shared" si="13"/>
        <v>0</v>
      </c>
      <c r="O54" s="26">
        <f t="shared" si="14"/>
        <v>0</v>
      </c>
      <c r="P54" s="26">
        <f t="shared" si="15"/>
        <v>0</v>
      </c>
      <c r="Q54" s="26">
        <f t="shared" si="16"/>
        <v>0</v>
      </c>
      <c r="R54" s="27">
        <f t="shared" si="7"/>
        <v>0</v>
      </c>
      <c r="S54" s="23"/>
      <c r="T54" s="3"/>
    </row>
    <row r="55" spans="1:20" x14ac:dyDescent="0.25">
      <c r="A55" s="505" t="s">
        <v>103</v>
      </c>
      <c r="B55" s="505"/>
      <c r="C55" s="461"/>
      <c r="D55" s="461"/>
      <c r="E55" s="461"/>
      <c r="F55" s="461"/>
      <c r="G55" s="461"/>
      <c r="H55" s="461"/>
      <c r="I55" s="461"/>
      <c r="J55" s="459" t="s">
        <v>660</v>
      </c>
      <c r="K55" s="26">
        <f t="shared" si="10"/>
        <v>0</v>
      </c>
      <c r="L55" s="26">
        <f t="shared" si="11"/>
        <v>0</v>
      </c>
      <c r="M55" s="26">
        <f t="shared" si="12"/>
        <v>0</v>
      </c>
      <c r="N55" s="26">
        <f t="shared" si="13"/>
        <v>0</v>
      </c>
      <c r="O55" s="26">
        <f t="shared" si="14"/>
        <v>0</v>
      </c>
      <c r="P55" s="26">
        <f t="shared" si="15"/>
        <v>0</v>
      </c>
      <c r="Q55" s="26">
        <f t="shared" si="16"/>
        <v>0</v>
      </c>
      <c r="R55" s="27">
        <f t="shared" si="7"/>
        <v>0</v>
      </c>
      <c r="S55" s="23"/>
      <c r="T55" s="3"/>
    </row>
    <row r="56" spans="1:20" ht="14" x14ac:dyDescent="0.3">
      <c r="A56" s="463" t="s">
        <v>685</v>
      </c>
      <c r="B56" s="465"/>
      <c r="C56" s="461"/>
      <c r="D56" s="461"/>
      <c r="E56" s="461"/>
      <c r="F56" s="461"/>
      <c r="G56" s="461"/>
      <c r="H56" s="461"/>
      <c r="I56" s="461"/>
      <c r="J56" s="466" t="s">
        <v>686</v>
      </c>
      <c r="K56" s="26">
        <f t="shared" si="10"/>
        <v>0</v>
      </c>
      <c r="L56" s="26">
        <f t="shared" si="11"/>
        <v>0</v>
      </c>
      <c r="M56" s="26">
        <f t="shared" si="12"/>
        <v>0</v>
      </c>
      <c r="N56" s="26">
        <f t="shared" si="13"/>
        <v>0</v>
      </c>
      <c r="O56" s="26">
        <f t="shared" si="14"/>
        <v>0</v>
      </c>
      <c r="P56" s="26">
        <f t="shared" si="15"/>
        <v>0</v>
      </c>
      <c r="Q56" s="26">
        <f t="shared" si="16"/>
        <v>0</v>
      </c>
      <c r="R56" s="27">
        <f t="shared" ref="R56" si="18">SUM(K56:Q56)</f>
        <v>0</v>
      </c>
      <c r="S56" s="23"/>
      <c r="T56" s="3"/>
    </row>
    <row r="57" spans="1:20" x14ac:dyDescent="0.25">
      <c r="A57" s="505" t="s">
        <v>150</v>
      </c>
      <c r="B57" s="505"/>
      <c r="C57" s="461"/>
      <c r="D57" s="461"/>
      <c r="E57" s="461"/>
      <c r="F57" s="461"/>
      <c r="G57" s="461"/>
      <c r="H57" s="461"/>
      <c r="I57" s="461"/>
      <c r="J57" s="158" t="s">
        <v>166</v>
      </c>
      <c r="K57" s="26">
        <f t="shared" si="10"/>
        <v>0</v>
      </c>
      <c r="L57" s="26">
        <f t="shared" si="11"/>
        <v>0</v>
      </c>
      <c r="M57" s="26">
        <f t="shared" si="12"/>
        <v>0</v>
      </c>
      <c r="N57" s="26">
        <f t="shared" si="13"/>
        <v>0</v>
      </c>
      <c r="O57" s="26">
        <f t="shared" si="14"/>
        <v>0</v>
      </c>
      <c r="P57" s="26">
        <f t="shared" si="15"/>
        <v>0</v>
      </c>
      <c r="Q57" s="26">
        <f t="shared" si="16"/>
        <v>0</v>
      </c>
      <c r="R57" s="27">
        <f t="shared" si="7"/>
        <v>0</v>
      </c>
      <c r="S57" s="23"/>
      <c r="T57" s="3"/>
    </row>
    <row r="58" spans="1:20" x14ac:dyDescent="0.25">
      <c r="A58" s="505" t="s">
        <v>424</v>
      </c>
      <c r="B58" s="505"/>
      <c r="C58" s="461"/>
      <c r="D58" s="461"/>
      <c r="E58" s="461"/>
      <c r="F58" s="461"/>
      <c r="G58" s="461"/>
      <c r="H58" s="461"/>
      <c r="I58" s="461"/>
      <c r="J58" s="158" t="s">
        <v>661</v>
      </c>
      <c r="K58" s="26">
        <f t="shared" si="10"/>
        <v>0</v>
      </c>
      <c r="L58" s="26">
        <f t="shared" si="11"/>
        <v>0</v>
      </c>
      <c r="M58" s="26">
        <f t="shared" si="12"/>
        <v>0</v>
      </c>
      <c r="N58" s="26">
        <f t="shared" si="13"/>
        <v>0</v>
      </c>
      <c r="O58" s="26">
        <f t="shared" si="14"/>
        <v>0</v>
      </c>
      <c r="P58" s="26">
        <f t="shared" si="15"/>
        <v>0</v>
      </c>
      <c r="Q58" s="26">
        <f t="shared" si="16"/>
        <v>0</v>
      </c>
      <c r="R58" s="27">
        <f t="shared" si="7"/>
        <v>0</v>
      </c>
      <c r="S58" s="23"/>
      <c r="T58" s="3"/>
    </row>
    <row r="59" spans="1:20" x14ac:dyDescent="0.25">
      <c r="A59" s="505" t="s">
        <v>157</v>
      </c>
      <c r="B59" s="505"/>
      <c r="C59" s="461"/>
      <c r="D59" s="461"/>
      <c r="E59" s="461"/>
      <c r="F59" s="461"/>
      <c r="G59" s="461"/>
      <c r="H59" s="461"/>
      <c r="I59" s="461"/>
      <c r="J59" s="158" t="s">
        <v>174</v>
      </c>
      <c r="K59" s="26">
        <f t="shared" si="10"/>
        <v>0</v>
      </c>
      <c r="L59" s="26">
        <f t="shared" si="11"/>
        <v>0</v>
      </c>
      <c r="M59" s="26">
        <f t="shared" si="12"/>
        <v>0</v>
      </c>
      <c r="N59" s="26">
        <f t="shared" si="13"/>
        <v>0</v>
      </c>
      <c r="O59" s="26">
        <f t="shared" si="14"/>
        <v>0</v>
      </c>
      <c r="P59" s="26">
        <f t="shared" si="15"/>
        <v>0</v>
      </c>
      <c r="Q59" s="26">
        <f t="shared" si="16"/>
        <v>0</v>
      </c>
      <c r="R59" s="27">
        <f t="shared" si="7"/>
        <v>0</v>
      </c>
      <c r="S59" s="23"/>
      <c r="T59" s="3"/>
    </row>
    <row r="60" spans="1:20" x14ac:dyDescent="0.25">
      <c r="A60" s="505" t="s">
        <v>158</v>
      </c>
      <c r="B60" s="505"/>
      <c r="C60" s="461"/>
      <c r="D60" s="461"/>
      <c r="E60" s="461"/>
      <c r="F60" s="461"/>
      <c r="G60" s="461"/>
      <c r="H60" s="461"/>
      <c r="I60" s="461"/>
      <c r="J60" s="158" t="s">
        <v>175</v>
      </c>
      <c r="K60" s="26">
        <f t="shared" si="10"/>
        <v>0</v>
      </c>
      <c r="L60" s="26">
        <f t="shared" si="11"/>
        <v>0</v>
      </c>
      <c r="M60" s="26">
        <f t="shared" si="12"/>
        <v>0</v>
      </c>
      <c r="N60" s="26">
        <f t="shared" si="13"/>
        <v>0</v>
      </c>
      <c r="O60" s="26">
        <f t="shared" si="14"/>
        <v>0</v>
      </c>
      <c r="P60" s="26">
        <f t="shared" si="15"/>
        <v>0</v>
      </c>
      <c r="Q60" s="26">
        <f t="shared" si="16"/>
        <v>0</v>
      </c>
      <c r="R60" s="27">
        <f t="shared" si="7"/>
        <v>0</v>
      </c>
      <c r="S60" s="23"/>
      <c r="T60" s="3"/>
    </row>
    <row r="61" spans="1:20" x14ac:dyDescent="0.25">
      <c r="A61" s="506" t="s">
        <v>425</v>
      </c>
      <c r="B61" s="506"/>
      <c r="C61" s="461"/>
      <c r="D61" s="461"/>
      <c r="E61" s="461"/>
      <c r="F61" s="461"/>
      <c r="G61" s="461"/>
      <c r="H61" s="461"/>
      <c r="I61" s="461"/>
      <c r="J61" s="158" t="s">
        <v>275</v>
      </c>
      <c r="K61" s="26">
        <f t="shared" si="10"/>
        <v>0</v>
      </c>
      <c r="L61" s="26">
        <f t="shared" si="11"/>
        <v>0</v>
      </c>
      <c r="M61" s="26">
        <f t="shared" si="12"/>
        <v>0</v>
      </c>
      <c r="N61" s="26">
        <f t="shared" si="13"/>
        <v>0</v>
      </c>
      <c r="O61" s="26">
        <f t="shared" si="14"/>
        <v>0</v>
      </c>
      <c r="P61" s="26">
        <f t="shared" si="15"/>
        <v>0</v>
      </c>
      <c r="Q61" s="26">
        <f t="shared" si="16"/>
        <v>0</v>
      </c>
      <c r="R61" s="27">
        <f t="shared" si="7"/>
        <v>0</v>
      </c>
      <c r="S61" s="23"/>
      <c r="T61" s="3"/>
    </row>
    <row r="62" spans="1:20" ht="14" x14ac:dyDescent="0.3">
      <c r="A62" s="475" t="s">
        <v>687</v>
      </c>
      <c r="B62" s="476"/>
      <c r="C62" s="461"/>
      <c r="D62" s="461"/>
      <c r="E62" s="461"/>
      <c r="F62" s="461"/>
      <c r="G62" s="461"/>
      <c r="H62" s="461"/>
      <c r="I62" s="461"/>
      <c r="J62" s="466" t="s">
        <v>688</v>
      </c>
      <c r="K62" s="26">
        <f t="shared" si="10"/>
        <v>0</v>
      </c>
      <c r="L62" s="26">
        <f t="shared" si="11"/>
        <v>0</v>
      </c>
      <c r="M62" s="26">
        <f t="shared" si="12"/>
        <v>0</v>
      </c>
      <c r="N62" s="26">
        <f t="shared" si="13"/>
        <v>0</v>
      </c>
      <c r="O62" s="26">
        <f t="shared" si="14"/>
        <v>0</v>
      </c>
      <c r="P62" s="26">
        <f t="shared" si="15"/>
        <v>0</v>
      </c>
      <c r="Q62" s="26">
        <f t="shared" si="16"/>
        <v>0</v>
      </c>
      <c r="R62" s="27">
        <f t="shared" ref="R62" si="19">SUM(K62:Q62)</f>
        <v>0</v>
      </c>
      <c r="S62" s="23"/>
      <c r="T62" s="3"/>
    </row>
    <row r="63" spans="1:20" ht="13" x14ac:dyDescent="0.3">
      <c r="A63" s="28" t="s">
        <v>55</v>
      </c>
      <c r="B63" s="477"/>
      <c r="C63" s="73">
        <f t="shared" ref="C63:I63" si="20">SUM(C10:C62)</f>
        <v>0</v>
      </c>
      <c r="D63" s="73">
        <f t="shared" si="20"/>
        <v>0</v>
      </c>
      <c r="E63" s="73">
        <f t="shared" si="20"/>
        <v>0</v>
      </c>
      <c r="F63" s="73">
        <f t="shared" si="20"/>
        <v>0</v>
      </c>
      <c r="G63" s="73">
        <f t="shared" si="20"/>
        <v>0</v>
      </c>
      <c r="H63" s="73">
        <f t="shared" si="20"/>
        <v>0</v>
      </c>
      <c r="I63" s="73">
        <f t="shared" si="20"/>
        <v>0</v>
      </c>
      <c r="J63" s="21"/>
      <c r="K63" s="74">
        <f t="shared" ref="K63:R63" si="21">SUM(K10:K62)</f>
        <v>0</v>
      </c>
      <c r="L63" s="74">
        <f t="shared" si="21"/>
        <v>0</v>
      </c>
      <c r="M63" s="74">
        <f t="shared" si="21"/>
        <v>0</v>
      </c>
      <c r="N63" s="74">
        <f t="shared" si="21"/>
        <v>0</v>
      </c>
      <c r="O63" s="74">
        <f t="shared" si="21"/>
        <v>0</v>
      </c>
      <c r="P63" s="74">
        <f t="shared" si="21"/>
        <v>0</v>
      </c>
      <c r="Q63" s="74">
        <f t="shared" si="21"/>
        <v>0</v>
      </c>
      <c r="R63" s="74">
        <f t="shared" si="21"/>
        <v>0</v>
      </c>
      <c r="S63" s="23"/>
      <c r="T63" s="3"/>
    </row>
    <row r="64" spans="1:20" ht="18" x14ac:dyDescent="0.4">
      <c r="A64" s="28"/>
      <c r="B64" s="7"/>
      <c r="C64" s="8" t="s">
        <v>26</v>
      </c>
      <c r="D64" s="8" t="s">
        <v>26</v>
      </c>
      <c r="E64" s="8" t="s">
        <v>26</v>
      </c>
      <c r="F64" s="8" t="s">
        <v>26</v>
      </c>
      <c r="G64" s="8" t="s">
        <v>26</v>
      </c>
      <c r="H64" s="8" t="s">
        <v>26</v>
      </c>
      <c r="I64" s="8" t="s">
        <v>26</v>
      </c>
      <c r="K64" s="70"/>
      <c r="L64" s="63"/>
      <c r="M64" s="64"/>
      <c r="N64" s="64"/>
      <c r="O64" s="64"/>
      <c r="P64" s="64"/>
      <c r="Q64" s="64"/>
      <c r="R64" s="65"/>
      <c r="S64" s="65"/>
      <c r="T64" s="3"/>
    </row>
    <row r="65" spans="1:20" ht="13" x14ac:dyDescent="0.3">
      <c r="A65" s="29" t="s">
        <v>53</v>
      </c>
      <c r="B65" s="9"/>
      <c r="C65" s="62" t="s">
        <v>119</v>
      </c>
      <c r="D65" s="62" t="s">
        <v>119</v>
      </c>
      <c r="E65" s="62" t="s">
        <v>119</v>
      </c>
      <c r="F65" s="62"/>
      <c r="G65" s="62"/>
      <c r="H65" s="62" t="s">
        <v>119</v>
      </c>
      <c r="I65" s="62" t="s">
        <v>119</v>
      </c>
      <c r="K65" s="22"/>
      <c r="L65" s="66"/>
      <c r="M65" s="64"/>
      <c r="N65" s="64"/>
      <c r="O65" s="64"/>
      <c r="P65" s="64"/>
      <c r="Q65" s="64"/>
      <c r="R65" s="65"/>
      <c r="S65" s="65"/>
      <c r="T65" s="3"/>
    </row>
    <row r="66" spans="1:20" ht="13" x14ac:dyDescent="0.3">
      <c r="A66" s="29"/>
      <c r="B66" s="9"/>
      <c r="C66" s="10"/>
      <c r="D66" s="10"/>
      <c r="E66" s="10"/>
      <c r="F66" s="10"/>
      <c r="G66" s="10"/>
      <c r="H66" s="10"/>
      <c r="I66" s="10"/>
      <c r="K66" s="22"/>
      <c r="L66" s="67"/>
      <c r="M66" s="64"/>
      <c r="N66" s="64"/>
      <c r="O66" s="64"/>
      <c r="P66" s="64"/>
      <c r="Q66" s="64"/>
      <c r="R66" s="65"/>
      <c r="S66" s="65"/>
      <c r="T66" s="3"/>
    </row>
    <row r="67" spans="1:20" ht="13" x14ac:dyDescent="0.3">
      <c r="A67" s="29"/>
      <c r="B67" s="9"/>
      <c r="C67" s="10"/>
      <c r="D67" s="10"/>
      <c r="E67" s="10"/>
      <c r="F67" s="10"/>
      <c r="G67" s="10"/>
      <c r="H67" s="10"/>
      <c r="I67" s="10"/>
      <c r="K67" s="22"/>
      <c r="L67" s="22"/>
      <c r="M67" s="14"/>
      <c r="N67" s="14"/>
      <c r="O67" s="14"/>
      <c r="P67" s="14"/>
      <c r="Q67" s="14"/>
      <c r="R67" s="23"/>
      <c r="S67" s="23"/>
      <c r="T67" s="3"/>
    </row>
    <row r="68" spans="1:20" ht="15.75" customHeight="1" thickBot="1" x14ac:dyDescent="0.3">
      <c r="A68" s="23"/>
      <c r="B68" s="69"/>
      <c r="C68" s="69"/>
      <c r="D68" s="69"/>
      <c r="E68" s="23"/>
      <c r="F68" s="23"/>
      <c r="G68" s="23"/>
      <c r="H68" s="23"/>
      <c r="I68" s="23"/>
      <c r="K68" s="23"/>
      <c r="L68" s="30"/>
      <c r="M68" s="13"/>
      <c r="N68" s="13"/>
      <c r="O68" s="13"/>
      <c r="P68" s="13"/>
      <c r="Q68" s="13"/>
      <c r="R68" s="13"/>
      <c r="S68" s="13"/>
    </row>
    <row r="69" spans="1:20" ht="48" customHeight="1" thickBot="1" x14ac:dyDescent="0.4">
      <c r="A69" s="31" t="s">
        <v>31</v>
      </c>
      <c r="B69" s="32" t="s">
        <v>84</v>
      </c>
      <c r="C69" s="33" t="s">
        <v>85</v>
      </c>
      <c r="D69" s="33" t="s">
        <v>86</v>
      </c>
      <c r="E69" s="34" t="s">
        <v>79</v>
      </c>
      <c r="F69" s="84"/>
      <c r="G69" s="106"/>
      <c r="H69" s="106"/>
      <c r="I69" s="106"/>
      <c r="K69" s="90"/>
      <c r="L69" s="13"/>
      <c r="M69" s="13"/>
      <c r="N69" s="13"/>
      <c r="O69" s="13"/>
      <c r="P69" s="13"/>
      <c r="Q69" s="13"/>
      <c r="R69" s="13"/>
      <c r="S69" s="13"/>
    </row>
    <row r="70" spans="1:20" x14ac:dyDescent="0.25">
      <c r="A70" s="108" t="s">
        <v>7</v>
      </c>
      <c r="B70" s="99">
        <f>C63-C12-C23-C25-C24</f>
        <v>0</v>
      </c>
      <c r="C70" s="100">
        <f>C12</f>
        <v>0</v>
      </c>
      <c r="D70" s="100">
        <f>C23+C25+C24</f>
        <v>0</v>
      </c>
      <c r="E70" s="103">
        <f t="shared" ref="E70:E76" si="22">SUM(B70+C70+D70)</f>
        <v>0</v>
      </c>
      <c r="F70" s="85"/>
      <c r="G70" s="85"/>
      <c r="H70" s="95"/>
      <c r="I70" s="85"/>
      <c r="K70" s="107"/>
      <c r="L70" s="13"/>
      <c r="M70" s="13"/>
      <c r="N70" s="13"/>
      <c r="O70" s="13"/>
      <c r="P70" s="13"/>
      <c r="Q70" s="13"/>
      <c r="R70" s="13"/>
      <c r="S70" s="13"/>
    </row>
    <row r="71" spans="1:20" x14ac:dyDescent="0.25">
      <c r="A71" s="109" t="s">
        <v>8</v>
      </c>
      <c r="B71" s="90">
        <f>D63-D12-D23-D25-D24</f>
        <v>0</v>
      </c>
      <c r="C71" s="72">
        <f>D12</f>
        <v>0</v>
      </c>
      <c r="D71" s="72">
        <f>D23+D25+D24</f>
        <v>0</v>
      </c>
      <c r="E71" s="104">
        <f t="shared" si="22"/>
        <v>0</v>
      </c>
      <c r="F71" s="85"/>
      <c r="G71" s="85"/>
      <c r="H71" s="95"/>
      <c r="I71" s="85"/>
      <c r="K71" s="107"/>
      <c r="L71" s="13"/>
      <c r="M71" s="13"/>
      <c r="N71" s="13"/>
      <c r="O71" s="13"/>
      <c r="P71" s="13"/>
      <c r="Q71" s="13"/>
      <c r="R71" s="13"/>
      <c r="S71" s="13"/>
    </row>
    <row r="72" spans="1:20" x14ac:dyDescent="0.25">
      <c r="A72" s="109" t="s">
        <v>9</v>
      </c>
      <c r="B72" s="71">
        <f>E63-E12-E23-E25-E24</f>
        <v>0</v>
      </c>
      <c r="C72" s="71">
        <f>E12</f>
        <v>0</v>
      </c>
      <c r="D72" s="71">
        <f>E23+E25+E24</f>
        <v>0</v>
      </c>
      <c r="E72" s="105">
        <f t="shared" si="22"/>
        <v>0</v>
      </c>
      <c r="F72" s="85"/>
      <c r="G72" s="85"/>
      <c r="H72" s="95"/>
      <c r="I72" s="85"/>
      <c r="K72" s="107"/>
      <c r="L72" s="13"/>
      <c r="M72" s="13"/>
      <c r="N72" s="13"/>
      <c r="O72" s="13"/>
      <c r="P72" s="13"/>
      <c r="Q72" s="13"/>
      <c r="R72" s="13"/>
      <c r="S72" s="13"/>
    </row>
    <row r="73" spans="1:20" x14ac:dyDescent="0.25">
      <c r="A73" s="109" t="s">
        <v>289</v>
      </c>
      <c r="B73" s="71">
        <f>F63-F12-F23-F25-F24</f>
        <v>0</v>
      </c>
      <c r="C73" s="71">
        <f>F12</f>
        <v>0</v>
      </c>
      <c r="D73" s="71">
        <f>F23+F25+F24</f>
        <v>0</v>
      </c>
      <c r="E73" s="105">
        <f t="shared" si="22"/>
        <v>0</v>
      </c>
      <c r="F73" s="85"/>
      <c r="G73" s="85"/>
      <c r="H73" s="85"/>
      <c r="I73" s="85"/>
      <c r="K73" s="107"/>
      <c r="L73" s="13"/>
      <c r="M73" s="13"/>
      <c r="N73" s="13"/>
      <c r="O73" s="13"/>
      <c r="P73" s="13"/>
      <c r="Q73" s="13"/>
      <c r="R73" s="13"/>
      <c r="S73" s="13"/>
    </row>
    <row r="74" spans="1:20" x14ac:dyDescent="0.25">
      <c r="A74" s="109" t="s">
        <v>290</v>
      </c>
      <c r="B74" s="71">
        <f>G63-G12-G23-G25-G24</f>
        <v>0</v>
      </c>
      <c r="C74" s="71">
        <f>G12</f>
        <v>0</v>
      </c>
      <c r="D74" s="71">
        <f>G23+G25+G24</f>
        <v>0</v>
      </c>
      <c r="E74" s="105">
        <f t="shared" si="22"/>
        <v>0</v>
      </c>
      <c r="F74" s="85"/>
      <c r="G74" s="85"/>
      <c r="H74" s="85"/>
      <c r="I74" s="85"/>
      <c r="K74" s="13"/>
      <c r="L74" s="13"/>
      <c r="M74" s="13"/>
      <c r="N74" s="13"/>
      <c r="O74" s="13"/>
      <c r="P74" s="13"/>
      <c r="Q74" s="13"/>
      <c r="R74" s="13"/>
      <c r="S74" s="13"/>
    </row>
    <row r="75" spans="1:20" x14ac:dyDescent="0.25">
      <c r="A75" s="109" t="s">
        <v>286</v>
      </c>
      <c r="B75" s="71">
        <f>H63-H12-H23-H25-H24</f>
        <v>0</v>
      </c>
      <c r="C75" s="71">
        <f>H12</f>
        <v>0</v>
      </c>
      <c r="D75" s="71">
        <f>H23+H25+H24</f>
        <v>0</v>
      </c>
      <c r="E75" s="105">
        <f t="shared" si="22"/>
        <v>0</v>
      </c>
      <c r="F75" s="85"/>
      <c r="G75" s="85"/>
      <c r="H75" s="85"/>
      <c r="I75" s="85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20" x14ac:dyDescent="0.25">
      <c r="A76" s="110" t="s">
        <v>284</v>
      </c>
      <c r="B76" s="71">
        <f>I63-I12-I23-I25-I24</f>
        <v>0</v>
      </c>
      <c r="C76" s="71">
        <f>I12</f>
        <v>0</v>
      </c>
      <c r="D76" s="71">
        <f>I23+I25+I24</f>
        <v>0</v>
      </c>
      <c r="E76" s="105">
        <f t="shared" si="22"/>
        <v>0</v>
      </c>
      <c r="F76" s="85"/>
      <c r="G76" s="85"/>
      <c r="H76" s="85"/>
      <c r="I76" s="85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1:20" ht="13" thickBot="1" x14ac:dyDescent="0.3">
      <c r="A77" s="111" t="s">
        <v>14</v>
      </c>
      <c r="B77" s="101">
        <f>SUM(B70:B76)</f>
        <v>0</v>
      </c>
      <c r="C77" s="101">
        <f>SUM(C70:C76)</f>
        <v>0</v>
      </c>
      <c r="D77" s="101">
        <f>SUM(D70:D76)</f>
        <v>0</v>
      </c>
      <c r="E77" s="102">
        <f>SUM(E70:E76)</f>
        <v>0</v>
      </c>
      <c r="F77" s="86"/>
      <c r="G77" s="86"/>
      <c r="H77" s="86"/>
      <c r="I77" s="86"/>
      <c r="J77" s="13"/>
      <c r="K77" s="15"/>
      <c r="L77" s="13"/>
      <c r="M77" s="13"/>
      <c r="N77" s="13"/>
      <c r="O77" s="13"/>
      <c r="P77" s="13"/>
      <c r="Q77" s="13"/>
      <c r="R77" s="13"/>
      <c r="S77" s="13"/>
    </row>
    <row r="78" spans="1:20" ht="13" thickBot="1" x14ac:dyDescent="0.3">
      <c r="A78" s="21"/>
      <c r="B78" s="21"/>
      <c r="C78" s="21"/>
      <c r="D78" s="21"/>
      <c r="E78" s="23"/>
      <c r="F78" s="23"/>
      <c r="G78" s="23"/>
      <c r="H78" s="23"/>
      <c r="I78" s="23"/>
      <c r="J78" s="13"/>
      <c r="K78" s="23"/>
      <c r="L78" s="23"/>
      <c r="M78" s="23"/>
      <c r="N78" s="23"/>
      <c r="O78" s="23"/>
      <c r="P78" s="23"/>
      <c r="Q78" s="23"/>
      <c r="R78" s="23"/>
      <c r="S78" s="23"/>
      <c r="T78" s="3"/>
    </row>
    <row r="79" spans="1:20" ht="62.5" thickBot="1" x14ac:dyDescent="0.4">
      <c r="A79" s="80" t="s">
        <v>6</v>
      </c>
      <c r="B79" s="81" t="s">
        <v>83</v>
      </c>
      <c r="C79" s="82" t="s">
        <v>281</v>
      </c>
      <c r="D79" s="83" t="s">
        <v>292</v>
      </c>
      <c r="E79" s="15"/>
      <c r="F79" s="35" t="s">
        <v>11</v>
      </c>
      <c r="G79" s="51"/>
      <c r="H79" s="36" t="s">
        <v>12</v>
      </c>
      <c r="J79" s="13"/>
      <c r="M79" s="18"/>
      <c r="N79" s="18"/>
      <c r="O79" s="18"/>
      <c r="P79" s="18"/>
      <c r="Q79" s="18"/>
      <c r="R79" s="18"/>
      <c r="S79" s="2"/>
    </row>
    <row r="80" spans="1:20" ht="15.65" customHeight="1" x14ac:dyDescent="0.35">
      <c r="A80" s="112" t="s">
        <v>7</v>
      </c>
      <c r="B80" s="96"/>
      <c r="C80" s="75">
        <v>14.2</v>
      </c>
      <c r="D80" s="77">
        <f>MIN(B80,C80)</f>
        <v>14.2</v>
      </c>
      <c r="E80" s="37"/>
      <c r="F80" s="38">
        <f>E70*$D$80</f>
        <v>0</v>
      </c>
      <c r="G80" s="52"/>
      <c r="H80" s="39">
        <f t="shared" ref="H80:H86" si="23">SUM(F80)</f>
        <v>0</v>
      </c>
      <c r="J80" s="13"/>
      <c r="M80" s="23"/>
      <c r="N80" s="23"/>
      <c r="O80" s="23"/>
      <c r="P80" s="23"/>
      <c r="Q80" s="23"/>
      <c r="R80" s="23"/>
      <c r="S80" s="3"/>
    </row>
    <row r="81" spans="1:19" ht="15.65" customHeight="1" x14ac:dyDescent="0.25">
      <c r="A81" s="113" t="s">
        <v>8</v>
      </c>
      <c r="B81" s="96"/>
      <c r="C81" s="76">
        <v>16.649999999999999</v>
      </c>
      <c r="D81" s="78">
        <f t="shared" ref="D81:D86" si="24">MIN(B81,C81)</f>
        <v>16.649999999999999</v>
      </c>
      <c r="E81" s="6"/>
      <c r="F81" s="38">
        <f>E71*$D$81</f>
        <v>0</v>
      </c>
      <c r="G81" s="52"/>
      <c r="H81" s="39">
        <f t="shared" si="23"/>
        <v>0</v>
      </c>
      <c r="M81" s="23"/>
      <c r="N81" s="23"/>
      <c r="O81" s="23"/>
      <c r="P81" s="23"/>
      <c r="Q81" s="23"/>
      <c r="R81" s="23"/>
      <c r="S81" s="3"/>
    </row>
    <row r="82" spans="1:19" ht="15.65" customHeight="1" x14ac:dyDescent="0.25">
      <c r="A82" s="114" t="s">
        <v>9</v>
      </c>
      <c r="B82" s="96"/>
      <c r="C82" s="91">
        <v>3.8</v>
      </c>
      <c r="D82" s="92">
        <f t="shared" si="24"/>
        <v>3.8</v>
      </c>
      <c r="E82" s="6"/>
      <c r="F82" s="38">
        <f>E72*$D$82</f>
        <v>0</v>
      </c>
      <c r="G82" s="53"/>
      <c r="H82" s="40">
        <f t="shared" si="23"/>
        <v>0</v>
      </c>
      <c r="M82" s="23"/>
      <c r="N82" s="23"/>
      <c r="O82" s="23"/>
      <c r="P82" s="23"/>
      <c r="Q82" s="23"/>
      <c r="R82" s="23"/>
      <c r="S82" s="3"/>
    </row>
    <row r="83" spans="1:19" ht="15.65" customHeight="1" x14ac:dyDescent="0.25">
      <c r="A83" s="115" t="s">
        <v>289</v>
      </c>
      <c r="B83" s="96"/>
      <c r="C83" s="457">
        <v>29.27</v>
      </c>
      <c r="D83" s="92">
        <f t="shared" si="24"/>
        <v>29.27</v>
      </c>
      <c r="E83" s="6"/>
      <c r="F83" s="38">
        <f>E73*$D$83</f>
        <v>0</v>
      </c>
      <c r="G83" s="53"/>
      <c r="H83" s="40">
        <f t="shared" si="23"/>
        <v>0</v>
      </c>
      <c r="M83" s="23"/>
      <c r="N83" s="23"/>
      <c r="O83" s="23"/>
      <c r="P83" s="23"/>
      <c r="Q83" s="23"/>
      <c r="R83" s="23"/>
      <c r="S83" s="3"/>
    </row>
    <row r="84" spans="1:19" ht="15.65" customHeight="1" x14ac:dyDescent="0.25">
      <c r="A84" s="115" t="s">
        <v>290</v>
      </c>
      <c r="B84" s="96"/>
      <c r="C84" s="93">
        <v>31.03</v>
      </c>
      <c r="D84" s="92">
        <f t="shared" si="24"/>
        <v>31.03</v>
      </c>
      <c r="E84" s="6"/>
      <c r="F84" s="38">
        <f>E74*$D$84</f>
        <v>0</v>
      </c>
      <c r="G84" s="53"/>
      <c r="H84" s="40">
        <f t="shared" si="23"/>
        <v>0</v>
      </c>
      <c r="M84" s="23"/>
      <c r="N84" s="23"/>
      <c r="O84" s="23"/>
      <c r="P84" s="23"/>
      <c r="Q84" s="23"/>
      <c r="R84" s="23"/>
      <c r="S84" s="3"/>
    </row>
    <row r="85" spans="1:19" ht="15.65" customHeight="1" x14ac:dyDescent="0.25">
      <c r="A85" s="116" t="s">
        <v>286</v>
      </c>
      <c r="B85" s="96"/>
      <c r="C85" s="93">
        <v>10.220000000000001</v>
      </c>
      <c r="D85" s="92">
        <f t="shared" si="24"/>
        <v>10.220000000000001</v>
      </c>
      <c r="E85" s="6"/>
      <c r="F85" s="38">
        <f>E75*$D$85</f>
        <v>0</v>
      </c>
      <c r="G85" s="53"/>
      <c r="H85" s="40">
        <f t="shared" si="23"/>
        <v>0</v>
      </c>
      <c r="M85" s="23"/>
      <c r="N85" s="23"/>
      <c r="O85" s="23"/>
      <c r="P85" s="23"/>
      <c r="Q85" s="23"/>
      <c r="R85" s="23"/>
      <c r="S85" s="3"/>
    </row>
    <row r="86" spans="1:19" ht="15.65" customHeight="1" thickBot="1" x14ac:dyDescent="0.3">
      <c r="A86" s="117" t="s">
        <v>284</v>
      </c>
      <c r="B86" s="97"/>
      <c r="C86" s="94">
        <v>144.66</v>
      </c>
      <c r="D86" s="79">
        <f t="shared" si="24"/>
        <v>144.66</v>
      </c>
      <c r="E86" s="6"/>
      <c r="F86" s="38">
        <f>E76*$D$86</f>
        <v>0</v>
      </c>
      <c r="G86" s="53"/>
      <c r="H86" s="40">
        <f t="shared" si="23"/>
        <v>0</v>
      </c>
      <c r="M86" s="23"/>
      <c r="N86" s="23"/>
      <c r="O86" s="23"/>
      <c r="P86" s="23"/>
      <c r="Q86" s="23"/>
      <c r="R86" s="23"/>
      <c r="S86" s="3"/>
    </row>
    <row r="87" spans="1:19" ht="13" x14ac:dyDescent="0.3">
      <c r="A87" s="13"/>
      <c r="B87" s="13"/>
      <c r="C87" s="13"/>
      <c r="E87" s="13"/>
      <c r="F87" s="50">
        <f>SUM(F80:F86)</f>
        <v>0</v>
      </c>
      <c r="G87" s="54"/>
      <c r="H87" s="41">
        <f>SUM(H80:H86)</f>
        <v>0</v>
      </c>
      <c r="M87" s="13"/>
      <c r="N87" s="13"/>
      <c r="O87" s="13"/>
      <c r="P87" s="13"/>
      <c r="Q87" s="13"/>
      <c r="R87" s="13"/>
      <c r="S87" s="13"/>
    </row>
    <row r="88" spans="1:19" x14ac:dyDescent="0.25">
      <c r="A88" s="21" t="s">
        <v>54</v>
      </c>
      <c r="B88" s="23"/>
      <c r="C88" s="23"/>
      <c r="E88" s="42" t="s">
        <v>81</v>
      </c>
      <c r="F88" s="43">
        <f>+'FL Info'!F260+'FL Info'!F261+'FL Info'!F262+'FL Info'!F263+'FL Info'!F264+'FL Info'!F265</f>
        <v>0</v>
      </c>
      <c r="G88" s="55"/>
      <c r="H88" s="44">
        <f>SUM(F88)</f>
        <v>0</v>
      </c>
      <c r="I88" s="98"/>
      <c r="M88" s="45"/>
      <c r="N88" s="45"/>
      <c r="O88" s="45"/>
      <c r="P88" s="45"/>
      <c r="Q88" s="45"/>
      <c r="R88" s="45"/>
      <c r="S88" s="46"/>
    </row>
    <row r="89" spans="1:19" ht="13.5" thickBot="1" x14ac:dyDescent="0.35">
      <c r="A89" s="13"/>
      <c r="B89" s="13"/>
      <c r="C89" s="13"/>
      <c r="E89" s="47" t="s">
        <v>82</v>
      </c>
      <c r="F89" s="48">
        <f>SUM(F87-F88)</f>
        <v>0</v>
      </c>
      <c r="G89" s="56"/>
      <c r="H89" s="49">
        <f>SUM(F89)</f>
        <v>0</v>
      </c>
      <c r="M89" s="13"/>
      <c r="N89" s="13"/>
      <c r="O89" s="13"/>
      <c r="P89" s="13"/>
      <c r="Q89" s="13"/>
      <c r="R89" s="13"/>
      <c r="S89" s="13"/>
    </row>
    <row r="90" spans="1:19" x14ac:dyDescent="0.25">
      <c r="A90" s="13"/>
      <c r="B90" s="13"/>
      <c r="C90" s="13"/>
      <c r="D90" s="13"/>
      <c r="E90" s="13"/>
      <c r="F90" s="13"/>
      <c r="G90" s="13"/>
      <c r="H90" s="13"/>
      <c r="I90" s="13"/>
      <c r="K90" s="13"/>
      <c r="L90" s="13"/>
      <c r="M90" s="13"/>
      <c r="N90" s="13"/>
      <c r="O90" s="13"/>
      <c r="P90" s="13"/>
      <c r="Q90" s="13"/>
      <c r="R90" s="13"/>
      <c r="S90" s="13"/>
    </row>
    <row r="91" spans="1:19" x14ac:dyDescent="0.25">
      <c r="A91" s="13"/>
      <c r="B91" s="13"/>
      <c r="C91" s="13"/>
      <c r="D91" s="13"/>
      <c r="E91" s="13"/>
      <c r="F91" s="13"/>
      <c r="G91" s="13"/>
      <c r="H91" s="13"/>
      <c r="I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1:19" x14ac:dyDescent="0.25">
      <c r="A92" s="13"/>
      <c r="B92" s="13"/>
      <c r="C92" s="13"/>
      <c r="D92" s="13"/>
      <c r="E92" s="13"/>
      <c r="F92" s="13"/>
      <c r="G92" s="13"/>
      <c r="H92" s="13"/>
      <c r="I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1:19" x14ac:dyDescent="0.25">
      <c r="A93" s="13"/>
      <c r="B93" s="13"/>
      <c r="C93" s="13"/>
      <c r="D93" s="13"/>
      <c r="E93" s="13"/>
      <c r="F93" s="13"/>
      <c r="G93" s="13"/>
      <c r="H93" s="13"/>
      <c r="I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1:19" x14ac:dyDescent="0.25">
      <c r="A94" s="13"/>
      <c r="B94" s="13"/>
      <c r="C94" s="13"/>
      <c r="D94" s="13"/>
      <c r="E94" s="13"/>
      <c r="F94" s="13"/>
      <c r="G94" s="13"/>
      <c r="H94" s="13"/>
      <c r="I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1:19" x14ac:dyDescent="0.25">
      <c r="A95" s="13"/>
      <c r="B95" s="13"/>
      <c r="C95" s="13"/>
      <c r="D95" s="13"/>
      <c r="E95" s="13"/>
      <c r="F95" s="13"/>
      <c r="G95" s="13"/>
      <c r="H95" s="13"/>
      <c r="I95" s="13"/>
      <c r="K95" s="13"/>
      <c r="L95" s="13"/>
      <c r="M95" s="13"/>
      <c r="N95" s="13"/>
      <c r="O95" s="13"/>
      <c r="P95" s="13"/>
      <c r="Q95" s="13"/>
      <c r="R95" s="13"/>
      <c r="S95" s="13"/>
    </row>
    <row r="114" spans="1:20" x14ac:dyDescent="0.25">
      <c r="A114" s="3"/>
      <c r="B114" s="3"/>
      <c r="C114" s="3"/>
      <c r="D114" s="3"/>
      <c r="K114" s="3"/>
      <c r="S114" s="3"/>
      <c r="T114" s="3"/>
    </row>
    <row r="115" spans="1:20" x14ac:dyDescent="0.25">
      <c r="A115" s="3"/>
      <c r="B115" s="3"/>
      <c r="C115" s="3"/>
      <c r="D115" s="3"/>
      <c r="E115" s="3"/>
      <c r="F115" s="3"/>
      <c r="G115" s="3"/>
      <c r="H115" s="3"/>
      <c r="I115" s="3"/>
      <c r="T115" s="3"/>
    </row>
  </sheetData>
  <sheetProtection algorithmName="SHA-512" hashValue="kojYHrmCHEjW7uSgjgcWYNGhciGIkhWrH1jIe1ciKcsKjaKQWWWOP5xaoOVxtL0cf88dtHiZ5LErDF36wMhVQQ==" saltValue="mCFqOgEX7w9+fy0dFCYiGw==" spinCount="100000" sheet="1" objects="1" scenarios="1"/>
  <mergeCells count="55">
    <mergeCell ref="K8:R8"/>
    <mergeCell ref="B1:C1"/>
    <mergeCell ref="B2:C2"/>
    <mergeCell ref="B3:C3"/>
    <mergeCell ref="B4:C4"/>
    <mergeCell ref="B5:C5"/>
    <mergeCell ref="C8:I8"/>
    <mergeCell ref="A46:B46"/>
    <mergeCell ref="A47:B47"/>
    <mergeCell ref="A25:B25"/>
    <mergeCell ref="A26:B26"/>
    <mergeCell ref="A27:B27"/>
    <mergeCell ref="A28:B28"/>
    <mergeCell ref="A43:B43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9:B29"/>
    <mergeCell ref="A40:B40"/>
    <mergeCell ref="A41:B41"/>
    <mergeCell ref="A42:B42"/>
    <mergeCell ref="A45:B45"/>
    <mergeCell ref="A44:B44"/>
    <mergeCell ref="A48:B48"/>
    <mergeCell ref="A49:B49"/>
    <mergeCell ref="A50:B50"/>
    <mergeCell ref="A51:B51"/>
    <mergeCell ref="A52:B52"/>
    <mergeCell ref="A60:B60"/>
    <mergeCell ref="A61:B61"/>
    <mergeCell ref="A54:B54"/>
    <mergeCell ref="A55:B55"/>
    <mergeCell ref="A57:B57"/>
    <mergeCell ref="A58:B58"/>
    <mergeCell ref="A59:B59"/>
  </mergeCells>
  <phoneticPr fontId="0" type="noConversion"/>
  <conditionalFormatting sqref="E70:I76">
    <cfRule type="cellIs" dxfId="1" priority="1" stopIfTrue="1" operator="lessThan">
      <formula>0</formula>
    </cfRule>
  </conditionalFormatting>
  <dataValidations xWindow="374" yWindow="700" count="1">
    <dataValidation allowBlank="1" showInputMessage="1" showErrorMessage="1" sqref="D70:D76 C71:C76" xr:uid="{00000000-0002-0000-0000-000000000000}"/>
  </dataValidations>
  <pageMargins left="0.75" right="0.75" top="0.51" bottom="0.55000000000000004" header="0.28000000000000003" footer="0.34"/>
  <pageSetup scale="35" orientation="landscape" r:id="rId1"/>
  <headerFooter alignWithMargins="0">
    <oddHeader>&amp;L&amp;8State of California - Health and Human Servies Agency&amp;R&amp;8Department of Health Care Services</oddHeader>
    <oddFooter>&amp;L&amp;8MC 6310 (04/15) &amp;F - &amp;A</oddFooter>
  </headerFooter>
  <colBreaks count="1" manualBreakCount="1">
    <brk id="17" max="99" man="1"/>
  </colBreaks>
  <ignoredErrors>
    <ignoredError sqref="K39 H8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D315"/>
  <sheetViews>
    <sheetView zoomScale="80" zoomScaleNormal="80" workbookViewId="0">
      <selection activeCell="B6" sqref="B6:E6"/>
    </sheetView>
  </sheetViews>
  <sheetFormatPr defaultColWidth="9.1796875" defaultRowHeight="12.5" x14ac:dyDescent="0.25"/>
  <cols>
    <col min="1" max="1" width="9.1796875" style="169"/>
    <col min="2" max="2" width="14.1796875" style="386" customWidth="1"/>
    <col min="3" max="3" width="14.1796875" style="165" customWidth="1"/>
    <col min="4" max="4" width="16.81640625" style="169" customWidth="1"/>
    <col min="5" max="6" width="15.6328125" style="169" customWidth="1"/>
    <col min="7" max="7" width="14.1796875" style="165" customWidth="1"/>
    <col min="8" max="10" width="14.1796875" style="169" customWidth="1"/>
    <col min="11" max="11" width="14.1796875" style="165" customWidth="1"/>
    <col min="12" max="13" width="14.1796875" style="169" customWidth="1"/>
    <col min="14" max="14" width="14" style="169" customWidth="1"/>
    <col min="15" max="18" width="14.1796875" style="166" customWidth="1"/>
    <col min="19" max="19" width="13.453125" style="166" bestFit="1" customWidth="1"/>
    <col min="20" max="20" width="10.36328125" style="166" bestFit="1" customWidth="1"/>
    <col min="21" max="21" width="14.1796875" style="166" customWidth="1"/>
    <col min="22" max="22" width="15.36328125" style="166" bestFit="1" customWidth="1"/>
    <col min="23" max="23" width="11.7265625" style="166" customWidth="1"/>
    <col min="24" max="24" width="14.36328125" style="166" customWidth="1"/>
    <col min="25" max="25" width="11.90625" style="166" bestFit="1" customWidth="1"/>
    <col min="26" max="29" width="14.1796875" style="166" customWidth="1"/>
    <col min="30" max="30" width="9.1796875" style="166"/>
    <col min="31" max="16384" width="9.1796875" style="167"/>
  </cols>
  <sheetData>
    <row r="1" spans="1:30" ht="13" x14ac:dyDescent="0.3">
      <c r="A1" s="160"/>
      <c r="B1" s="161"/>
      <c r="C1" s="162"/>
      <c r="D1" s="163"/>
      <c r="E1" s="163"/>
      <c r="F1" s="163"/>
      <c r="G1" s="164"/>
      <c r="H1" s="98"/>
      <c r="I1" s="98"/>
      <c r="J1" s="98"/>
      <c r="L1" s="98"/>
      <c r="M1" s="98"/>
      <c r="N1" s="98"/>
    </row>
    <row r="2" spans="1:30" ht="28" customHeight="1" x14ac:dyDescent="0.3">
      <c r="A2" s="160"/>
      <c r="B2" s="518" t="s">
        <v>93</v>
      </c>
      <c r="C2" s="518"/>
      <c r="D2" s="518"/>
      <c r="E2" s="163"/>
      <c r="F2" s="163"/>
      <c r="G2" s="168"/>
      <c r="K2" s="170"/>
      <c r="L2" s="171"/>
      <c r="M2" s="171"/>
      <c r="N2" s="171"/>
    </row>
    <row r="3" spans="1:30" ht="14" customHeight="1" x14ac:dyDescent="0.3">
      <c r="A3" s="160"/>
      <c r="B3" s="519" t="s">
        <v>80</v>
      </c>
      <c r="C3" s="519"/>
      <c r="D3" s="519"/>
      <c r="E3" s="163"/>
      <c r="F3" s="163"/>
      <c r="G3" s="168"/>
      <c r="H3" s="172"/>
      <c r="I3" s="172"/>
      <c r="J3" s="172"/>
      <c r="K3" s="173"/>
      <c r="L3" s="172"/>
      <c r="M3" s="172"/>
      <c r="N3" s="172"/>
    </row>
    <row r="4" spans="1:30" ht="14" customHeight="1" x14ac:dyDescent="0.3">
      <c r="A4" s="160"/>
      <c r="B4" s="520" t="str">
        <f>'7990NTP-NP'!J7</f>
        <v>FISCAL YEAR 20-21</v>
      </c>
      <c r="C4" s="520"/>
      <c r="D4" s="520"/>
      <c r="E4" s="163"/>
      <c r="F4" s="163"/>
      <c r="G4" s="168"/>
      <c r="H4" s="172"/>
      <c r="I4" s="172"/>
      <c r="J4" s="172"/>
      <c r="K4" s="173"/>
      <c r="L4" s="172"/>
      <c r="M4" s="172"/>
      <c r="N4" s="172"/>
    </row>
    <row r="5" spans="1:30" ht="13" x14ac:dyDescent="0.3">
      <c r="A5" s="160"/>
      <c r="B5" s="174"/>
      <c r="C5" s="162"/>
      <c r="D5" s="163"/>
      <c r="E5" s="163"/>
      <c r="F5" s="163"/>
      <c r="G5" s="168"/>
      <c r="H5" s="172"/>
      <c r="I5" s="172"/>
      <c r="J5" s="172"/>
      <c r="K5" s="173"/>
      <c r="L5" s="172"/>
      <c r="M5" s="172"/>
      <c r="N5" s="172"/>
    </row>
    <row r="6" spans="1:30" ht="15" customHeight="1" x14ac:dyDescent="0.25">
      <c r="A6" s="175" t="s">
        <v>34</v>
      </c>
      <c r="B6" s="516" t="str">
        <f>IF(ISBLANK('7990NTP-NP'!B1),"",'7990NTP-NP'!B1)</f>
        <v/>
      </c>
      <c r="C6" s="516"/>
      <c r="D6" s="516"/>
      <c r="E6" s="516"/>
      <c r="F6" s="176" t="s">
        <v>126</v>
      </c>
      <c r="G6" s="177" t="str">
        <f>(IF(ISBLANK('7990NTP-NP'!B3),"",'7990NTP-NP'!B3))</f>
        <v/>
      </c>
      <c r="H6" s="98"/>
      <c r="I6" s="98"/>
      <c r="J6" s="98"/>
    </row>
    <row r="7" spans="1:30" ht="17.25" customHeight="1" x14ac:dyDescent="0.25">
      <c r="A7" s="175" t="s">
        <v>125</v>
      </c>
      <c r="B7" s="517" t="str">
        <f>(IF(ISBLANK('7990NTP-NP'!B2),"",'7990NTP-NP'!B2))</f>
        <v/>
      </c>
      <c r="C7" s="517"/>
      <c r="D7" s="517"/>
      <c r="E7" s="517"/>
      <c r="F7" s="178" t="s">
        <v>124</v>
      </c>
      <c r="G7" s="177" t="str">
        <f>(IF(ISBLANK('7990NTP-NP'!B4),"",'7990NTP-NP'!B4))</f>
        <v/>
      </c>
    </row>
    <row r="8" spans="1:30" ht="13" x14ac:dyDescent="0.3">
      <c r="A8" s="179"/>
      <c r="B8" s="161"/>
      <c r="C8" s="180"/>
      <c r="D8" s="181"/>
      <c r="E8" s="181"/>
      <c r="F8" s="181"/>
      <c r="G8" s="182"/>
      <c r="H8" s="183"/>
      <c r="I8" s="183"/>
      <c r="J8" s="183"/>
      <c r="K8" s="184"/>
      <c r="L8" s="185"/>
      <c r="M8" s="185"/>
      <c r="N8" s="185"/>
    </row>
    <row r="9" spans="1:30" s="188" customFormat="1" x14ac:dyDescent="0.25">
      <c r="A9" s="98"/>
      <c r="B9" s="186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</row>
    <row r="10" spans="1:30" s="188" customFormat="1" x14ac:dyDescent="0.25">
      <c r="A10" s="98"/>
      <c r="B10" s="186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</row>
    <row r="11" spans="1:30" s="188" customFormat="1" x14ac:dyDescent="0.25">
      <c r="A11" s="98"/>
      <c r="B11" s="186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</row>
    <row r="12" spans="1:30" ht="13" x14ac:dyDescent="0.3">
      <c r="A12" s="181"/>
      <c r="B12" s="189"/>
      <c r="C12" s="180"/>
      <c r="D12" s="181"/>
      <c r="E12" s="181"/>
      <c r="F12" s="181"/>
      <c r="G12" s="182"/>
      <c r="H12" s="183"/>
      <c r="I12" s="183"/>
      <c r="J12" s="183"/>
      <c r="K12" s="184"/>
      <c r="L12" s="185"/>
      <c r="M12" s="185"/>
      <c r="N12" s="185"/>
    </row>
    <row r="13" spans="1:30" ht="16.5" customHeight="1" thickBot="1" x14ac:dyDescent="0.35">
      <c r="A13" s="179"/>
      <c r="B13" s="514" t="s">
        <v>35</v>
      </c>
      <c r="C13" s="515"/>
      <c r="D13" s="190"/>
      <c r="E13" s="190"/>
      <c r="F13" s="190"/>
      <c r="G13" s="191"/>
      <c r="H13" s="192"/>
      <c r="I13" s="192"/>
      <c r="J13" s="192"/>
      <c r="K13" s="193"/>
      <c r="L13" s="185"/>
      <c r="M13" s="185"/>
      <c r="N13" s="185"/>
      <c r="O13" s="194"/>
      <c r="P13" s="195"/>
      <c r="Q13" s="195"/>
      <c r="R13" s="195"/>
      <c r="S13" s="195"/>
      <c r="T13" s="195"/>
      <c r="U13" s="195"/>
      <c r="V13" s="195"/>
    </row>
    <row r="14" spans="1:30" ht="57.5" customHeight="1" thickBot="1" x14ac:dyDescent="0.35">
      <c r="A14" s="196" t="s">
        <v>36</v>
      </c>
      <c r="B14" s="196" t="s">
        <v>91</v>
      </c>
      <c r="C14" s="197" t="s">
        <v>29</v>
      </c>
      <c r="D14" s="198" t="s">
        <v>49</v>
      </c>
      <c r="E14" s="199" t="s">
        <v>36</v>
      </c>
      <c r="F14" s="196" t="s">
        <v>91</v>
      </c>
      <c r="G14" s="196" t="s">
        <v>90</v>
      </c>
      <c r="H14" s="196" t="s">
        <v>47</v>
      </c>
      <c r="I14" s="196" t="s">
        <v>36</v>
      </c>
      <c r="J14" s="196" t="s">
        <v>91</v>
      </c>
      <c r="K14" s="196" t="s">
        <v>28</v>
      </c>
      <c r="L14" s="196" t="s">
        <v>48</v>
      </c>
      <c r="M14" s="196" t="s">
        <v>36</v>
      </c>
      <c r="N14" s="196" t="s">
        <v>91</v>
      </c>
      <c r="O14" s="196" t="s">
        <v>282</v>
      </c>
      <c r="P14" s="196" t="s">
        <v>49</v>
      </c>
      <c r="Q14" s="196" t="s">
        <v>36</v>
      </c>
      <c r="R14" s="196" t="s">
        <v>91</v>
      </c>
      <c r="S14" s="196" t="s">
        <v>288</v>
      </c>
      <c r="T14" s="196" t="s">
        <v>49</v>
      </c>
      <c r="U14" s="196" t="s">
        <v>36</v>
      </c>
      <c r="V14" s="196" t="s">
        <v>91</v>
      </c>
      <c r="W14" s="196" t="s">
        <v>283</v>
      </c>
      <c r="X14" s="196" t="s">
        <v>49</v>
      </c>
      <c r="Y14" s="196" t="s">
        <v>36</v>
      </c>
      <c r="Z14" s="196" t="s">
        <v>91</v>
      </c>
      <c r="AA14" s="196" t="s">
        <v>284</v>
      </c>
      <c r="AB14" s="197" t="s">
        <v>49</v>
      </c>
      <c r="AC14" s="200" t="s">
        <v>142</v>
      </c>
      <c r="AD14" s="167"/>
    </row>
    <row r="15" spans="1:30" ht="25.5" hidden="1" x14ac:dyDescent="0.3">
      <c r="A15" s="201" t="s">
        <v>37</v>
      </c>
      <c r="B15" s="202" t="s">
        <v>63</v>
      </c>
      <c r="C15" s="203">
        <f>ROUNDDOWN('7990NTP-NP'!K10*0.5,2)</f>
        <v>0</v>
      </c>
      <c r="D15" s="204">
        <f>'7990NTP-NP'!C10</f>
        <v>0</v>
      </c>
      <c r="E15" s="205" t="s">
        <v>37</v>
      </c>
      <c r="F15" s="206" t="s">
        <v>63</v>
      </c>
      <c r="G15" s="207">
        <f>ROUNDDOWN('7990NTP-NP'!L10*0.5,2)</f>
        <v>0</v>
      </c>
      <c r="H15" s="204">
        <f>'7990NTP-NP'!D10</f>
        <v>0</v>
      </c>
      <c r="I15" s="205" t="s">
        <v>37</v>
      </c>
      <c r="J15" s="202" t="s">
        <v>63</v>
      </c>
      <c r="K15" s="207">
        <f>ROUNDDOWN('7990NTP-NP'!M10*0.5,2)</f>
        <v>0</v>
      </c>
      <c r="L15" s="204">
        <f>'7990NTP-NP'!E10</f>
        <v>0</v>
      </c>
      <c r="M15" s="205" t="s">
        <v>37</v>
      </c>
      <c r="N15" s="202" t="s">
        <v>63</v>
      </c>
      <c r="O15" s="207">
        <f>ROUNDDOWN('7990NTP-NP'!N10*0.5,2)</f>
        <v>0</v>
      </c>
      <c r="P15" s="204">
        <f>'7990NTP-NP'!F10</f>
        <v>0</v>
      </c>
      <c r="Q15" s="205" t="s">
        <v>37</v>
      </c>
      <c r="R15" s="202" t="s">
        <v>63</v>
      </c>
      <c r="S15" s="207">
        <f>ROUNDDOWN('7990NTP-NP'!O10*0.5,2)</f>
        <v>0</v>
      </c>
      <c r="T15" s="204">
        <f>'7990NTP-NP'!G10</f>
        <v>0</v>
      </c>
      <c r="U15" s="205" t="s">
        <v>37</v>
      </c>
      <c r="V15" s="202" t="s">
        <v>63</v>
      </c>
      <c r="W15" s="207">
        <f>ROUNDDOWN('7990NTP-NP'!P10*0.5,2)</f>
        <v>0</v>
      </c>
      <c r="X15" s="204">
        <f>'7990NTP-NP'!H10</f>
        <v>0</v>
      </c>
      <c r="Y15" s="205" t="s">
        <v>37</v>
      </c>
      <c r="Z15" s="202" t="s">
        <v>63</v>
      </c>
      <c r="AA15" s="207">
        <f>ROUNDDOWN('7990NTP-NP'!Q10*0.5,2)</f>
        <v>0</v>
      </c>
      <c r="AB15" s="204">
        <f>'7990NTP-NP'!I10</f>
        <v>0</v>
      </c>
      <c r="AC15" s="208">
        <f>IF(C15+G15+K15+O15+S15+W15+AA15&gt;0,C15+G15+K15+O15+S15+W15+AA15,0)</f>
        <v>0</v>
      </c>
      <c r="AD15" s="167"/>
    </row>
    <row r="16" spans="1:30" ht="25.5" hidden="1" x14ac:dyDescent="0.3">
      <c r="A16" s="209" t="s">
        <v>38</v>
      </c>
      <c r="B16" s="210" t="s">
        <v>64</v>
      </c>
      <c r="C16" s="211">
        <f>ROUNDUP('7990NTP-NP'!K10*0.5,2)</f>
        <v>0</v>
      </c>
      <c r="D16" s="212"/>
      <c r="E16" s="209" t="s">
        <v>38</v>
      </c>
      <c r="F16" s="213" t="s">
        <v>64</v>
      </c>
      <c r="G16" s="211">
        <f>ROUNDUP('7990NTP-NP'!L10*0.5,2)</f>
        <v>0</v>
      </c>
      <c r="H16" s="214"/>
      <c r="I16" s="209" t="s">
        <v>38</v>
      </c>
      <c r="J16" s="210" t="s">
        <v>64</v>
      </c>
      <c r="K16" s="211">
        <f>ROUNDUP('7990NTP-NP'!M10*0.5,2)</f>
        <v>0</v>
      </c>
      <c r="L16" s="214"/>
      <c r="M16" s="209" t="s">
        <v>38</v>
      </c>
      <c r="N16" s="210" t="s">
        <v>64</v>
      </c>
      <c r="O16" s="211">
        <f>ROUNDUP('7990NTP-NP'!N10*0.5,2)</f>
        <v>0</v>
      </c>
      <c r="P16" s="214"/>
      <c r="Q16" s="209" t="s">
        <v>38</v>
      </c>
      <c r="R16" s="210" t="s">
        <v>64</v>
      </c>
      <c r="S16" s="211">
        <f>ROUNDUP('7990NTP-NP'!O10*0.5,2)</f>
        <v>0</v>
      </c>
      <c r="T16" s="214"/>
      <c r="U16" s="209" t="s">
        <v>38</v>
      </c>
      <c r="V16" s="210" t="s">
        <v>64</v>
      </c>
      <c r="W16" s="211">
        <f>ROUNDUP('7990NTP-NP'!P10*0.5,2)</f>
        <v>0</v>
      </c>
      <c r="X16" s="214"/>
      <c r="Y16" s="209" t="s">
        <v>38</v>
      </c>
      <c r="Z16" s="210" t="s">
        <v>64</v>
      </c>
      <c r="AA16" s="211">
        <f>ROUNDUP('7990NTP-NP'!Q10*0.5,2)</f>
        <v>0</v>
      </c>
      <c r="AB16" s="215"/>
      <c r="AC16" s="216">
        <f>IF(C16+G16+K16+O16+S16+W16+AA16&gt;0,C16+G16+K16+O16+S16+W16+AA16,0)</f>
        <v>0</v>
      </c>
      <c r="AD16" s="167"/>
    </row>
    <row r="17" spans="1:30" ht="14" hidden="1" x14ac:dyDescent="0.3">
      <c r="A17" s="209"/>
      <c r="B17" s="210"/>
      <c r="C17" s="217"/>
      <c r="D17" s="218"/>
      <c r="E17" s="219"/>
      <c r="F17" s="213"/>
      <c r="G17" s="220"/>
      <c r="H17" s="221"/>
      <c r="I17" s="219"/>
      <c r="J17" s="210"/>
      <c r="K17" s="222"/>
      <c r="L17" s="221"/>
      <c r="M17" s="219"/>
      <c r="N17" s="210"/>
      <c r="O17" s="222"/>
      <c r="P17" s="221"/>
      <c r="Q17" s="219"/>
      <c r="R17" s="210"/>
      <c r="S17" s="222"/>
      <c r="T17" s="221"/>
      <c r="U17" s="219"/>
      <c r="V17" s="210"/>
      <c r="W17" s="222"/>
      <c r="X17" s="221"/>
      <c r="Y17" s="219"/>
      <c r="Z17" s="210"/>
      <c r="AA17" s="222"/>
      <c r="AB17" s="221"/>
      <c r="AC17" s="216"/>
      <c r="AD17" s="167"/>
    </row>
    <row r="18" spans="1:30" ht="51" customHeight="1" x14ac:dyDescent="0.3">
      <c r="A18" s="209" t="s">
        <v>176</v>
      </c>
      <c r="B18" s="210" t="s">
        <v>177</v>
      </c>
      <c r="C18" s="223">
        <f>ROUNDDOWN('7990NTP-NP'!K10*0.562,2)</f>
        <v>0</v>
      </c>
      <c r="D18" s="224">
        <f>'7990NTP-NP'!C10</f>
        <v>0</v>
      </c>
      <c r="E18" s="209" t="s">
        <v>176</v>
      </c>
      <c r="F18" s="210" t="s">
        <v>465</v>
      </c>
      <c r="G18" s="211">
        <f>ROUNDDOWN('7990NTP-NP'!L10*0.562,2)</f>
        <v>0</v>
      </c>
      <c r="H18" s="225">
        <f>'7990NTP-NP'!D10</f>
        <v>0</v>
      </c>
      <c r="I18" s="226" t="s">
        <v>176</v>
      </c>
      <c r="J18" s="210" t="s">
        <v>516</v>
      </c>
      <c r="K18" s="203">
        <f>ROUNDDOWN('7990NTP-NP'!M10*0.562,2)</f>
        <v>0</v>
      </c>
      <c r="L18" s="204">
        <f>'7990NTP-NP'!E10</f>
        <v>0</v>
      </c>
      <c r="M18" s="449" t="s">
        <v>176</v>
      </c>
      <c r="N18" s="443" t="s">
        <v>567</v>
      </c>
      <c r="O18" s="211">
        <f>ROUNDDOWN('7990NTP-NP'!N10*0.562,2)</f>
        <v>0</v>
      </c>
      <c r="P18" s="227">
        <f>'7990NTP-NP'!F10</f>
        <v>0</v>
      </c>
      <c r="Q18" s="209" t="s">
        <v>176</v>
      </c>
      <c r="R18" s="210" t="s">
        <v>585</v>
      </c>
      <c r="S18" s="211">
        <f>ROUNDDOWN('7990NTP-NP'!O10*0.562,2)</f>
        <v>0</v>
      </c>
      <c r="T18" s="227">
        <f>'7990NTP-NP'!G10</f>
        <v>0</v>
      </c>
      <c r="U18" s="209" t="s">
        <v>176</v>
      </c>
      <c r="V18" s="210" t="s">
        <v>603</v>
      </c>
      <c r="W18" s="211">
        <f>ROUNDDOWN('7990NTP-NP'!P10*0.562,2)</f>
        <v>0</v>
      </c>
      <c r="X18" s="227">
        <f>'7990NTP-NP'!H10</f>
        <v>0</v>
      </c>
      <c r="Y18" s="209" t="s">
        <v>176</v>
      </c>
      <c r="Z18" s="210" t="s">
        <v>621</v>
      </c>
      <c r="AA18" s="211">
        <f>ROUNDDOWN('7990NTP-NP'!Q10*0.562,2)</f>
        <v>0</v>
      </c>
      <c r="AB18" s="227">
        <f>'7990NTP-NP'!I10</f>
        <v>0</v>
      </c>
      <c r="AC18" s="216">
        <f>IF(C18+G18+K18+O18+S18+W18+AA18&gt;0,C18+G18+K18+O18+S18+W18+AA18,0)</f>
        <v>0</v>
      </c>
      <c r="AD18" s="167"/>
    </row>
    <row r="19" spans="1:30" ht="50.5" x14ac:dyDescent="0.3">
      <c r="A19" s="209" t="s">
        <v>178</v>
      </c>
      <c r="B19" s="210" t="s">
        <v>179</v>
      </c>
      <c r="C19" s="228">
        <f>ROUNDUP('7990NTP-NP'!K10*0.438,2)</f>
        <v>0</v>
      </c>
      <c r="D19" s="229"/>
      <c r="E19" s="209" t="s">
        <v>178</v>
      </c>
      <c r="F19" s="210" t="s">
        <v>466</v>
      </c>
      <c r="G19" s="211">
        <f>ROUNDUP('7990NTP-NP'!L10*0.438,2)</f>
        <v>0</v>
      </c>
      <c r="H19" s="229"/>
      <c r="I19" s="226" t="s">
        <v>178</v>
      </c>
      <c r="J19" s="210" t="s">
        <v>517</v>
      </c>
      <c r="K19" s="211">
        <f>ROUNDUP('7990NTP-NP'!M10*0.438,2)</f>
        <v>0</v>
      </c>
      <c r="L19" s="221"/>
      <c r="M19" s="449" t="s">
        <v>178</v>
      </c>
      <c r="N19" s="443" t="s">
        <v>568</v>
      </c>
      <c r="O19" s="211">
        <f>ROUNDUP('7990NTP-NP'!N10*0.438,2)</f>
        <v>0</v>
      </c>
      <c r="P19" s="229"/>
      <c r="Q19" s="209" t="s">
        <v>178</v>
      </c>
      <c r="R19" s="210" t="s">
        <v>586</v>
      </c>
      <c r="S19" s="211">
        <f>ROUNDUP('7990NTP-NP'!O10*0.438,2)</f>
        <v>0</v>
      </c>
      <c r="T19" s="229"/>
      <c r="U19" s="209" t="s">
        <v>178</v>
      </c>
      <c r="V19" s="210" t="s">
        <v>604</v>
      </c>
      <c r="W19" s="211">
        <f>ROUNDUP('7990NTP-NP'!P10*0.438,2)</f>
        <v>0</v>
      </c>
      <c r="X19" s="229"/>
      <c r="Y19" s="209" t="s">
        <v>178</v>
      </c>
      <c r="Z19" s="210" t="s">
        <v>622</v>
      </c>
      <c r="AA19" s="211">
        <f>ROUNDUP('7990NTP-NP'!Q10*0.438,2)</f>
        <v>0</v>
      </c>
      <c r="AB19" s="229"/>
      <c r="AC19" s="216">
        <f>IF(C19+G19+K19+O19+S19+W19+AA19&gt;0,C19+G19+K19+O19+S19+W19+AA19,0)</f>
        <v>0</v>
      </c>
      <c r="AD19" s="167"/>
    </row>
    <row r="20" spans="1:30" ht="14" x14ac:dyDescent="0.3">
      <c r="A20" s="209"/>
      <c r="B20" s="210"/>
      <c r="C20" s="230"/>
      <c r="D20" s="229"/>
      <c r="E20" s="209"/>
      <c r="F20" s="210"/>
      <c r="G20" s="217"/>
      <c r="H20" s="229"/>
      <c r="I20" s="226"/>
      <c r="J20" s="210"/>
      <c r="K20" s="217"/>
      <c r="L20" s="221"/>
      <c r="M20" s="449"/>
      <c r="N20" s="443"/>
      <c r="O20" s="217"/>
      <c r="P20" s="229"/>
      <c r="Q20" s="209"/>
      <c r="R20" s="210"/>
      <c r="S20" s="217"/>
      <c r="T20" s="229"/>
      <c r="U20" s="209"/>
      <c r="V20" s="210"/>
      <c r="W20" s="217"/>
      <c r="X20" s="229"/>
      <c r="Y20" s="209"/>
      <c r="Z20" s="210"/>
      <c r="AA20" s="217"/>
      <c r="AB20" s="229"/>
      <c r="AC20" s="216"/>
      <c r="AD20" s="167"/>
    </row>
    <row r="21" spans="1:30" ht="38" x14ac:dyDescent="0.3">
      <c r="A21" s="126" t="s">
        <v>104</v>
      </c>
      <c r="B21" s="120" t="s">
        <v>105</v>
      </c>
      <c r="C21" s="228">
        <f>SUM('7990NTP-NP'!K11*1)</f>
        <v>0</v>
      </c>
      <c r="D21" s="224">
        <f>'7990NTP-NP'!C11</f>
        <v>0</v>
      </c>
      <c r="E21" s="146" t="s">
        <v>104</v>
      </c>
      <c r="F21" s="120" t="s">
        <v>467</v>
      </c>
      <c r="G21" s="211">
        <f>SUM('7990NTP-NP'!L11*1)</f>
        <v>0</v>
      </c>
      <c r="H21" s="231">
        <f>'7990NTP-NP'!D11</f>
        <v>0</v>
      </c>
      <c r="I21" s="137" t="s">
        <v>104</v>
      </c>
      <c r="J21" s="120" t="s">
        <v>518</v>
      </c>
      <c r="K21" s="211">
        <f>SUM('7990NTP-NP'!M11*1)</f>
        <v>0</v>
      </c>
      <c r="L21" s="204">
        <f>'7990NTP-NP'!E11</f>
        <v>0</v>
      </c>
      <c r="M21" s="450" t="s">
        <v>326</v>
      </c>
      <c r="N21" s="439" t="s">
        <v>327</v>
      </c>
      <c r="O21" s="211">
        <f>SUM('7990NTP-NP'!N11*1)</f>
        <v>0</v>
      </c>
      <c r="P21" s="231">
        <f>'7990NTP-NP'!F11</f>
        <v>0</v>
      </c>
      <c r="Q21" s="450" t="s">
        <v>326</v>
      </c>
      <c r="R21" s="439" t="s">
        <v>327</v>
      </c>
      <c r="S21" s="211">
        <f>SUM('7990NTP-NP'!O11*1)</f>
        <v>0</v>
      </c>
      <c r="T21" s="231">
        <f>'7990NTP-NP'!G11</f>
        <v>0</v>
      </c>
      <c r="U21" s="450" t="s">
        <v>326</v>
      </c>
      <c r="V21" s="439" t="s">
        <v>327</v>
      </c>
      <c r="W21" s="211">
        <f>SUM('7990NTP-NP'!P11*1)</f>
        <v>0</v>
      </c>
      <c r="X21" s="231">
        <f>'7990NTP-NP'!H11</f>
        <v>0</v>
      </c>
      <c r="Y21" s="450" t="s">
        <v>326</v>
      </c>
      <c r="Z21" s="439" t="s">
        <v>327</v>
      </c>
      <c r="AA21" s="211">
        <f>SUM('7990NTP-NP'!Q11*1)</f>
        <v>0</v>
      </c>
      <c r="AB21" s="231">
        <f>'7990NTP-NP'!I11</f>
        <v>0</v>
      </c>
      <c r="AC21" s="216">
        <f>IF(C21+G21+K21+O21+S21+W21+AA21&gt;0,C21+G21+K21+O21+S21+W21+AA21,0)</f>
        <v>0</v>
      </c>
      <c r="AD21" s="167"/>
    </row>
    <row r="22" spans="1:30" ht="14" x14ac:dyDescent="0.3">
      <c r="A22" s="209"/>
      <c r="B22" s="210"/>
      <c r="C22" s="230"/>
      <c r="D22" s="229"/>
      <c r="E22" s="209"/>
      <c r="F22" s="210"/>
      <c r="G22" s="217"/>
      <c r="H22" s="229"/>
      <c r="I22" s="226"/>
      <c r="J22" s="210"/>
      <c r="K22" s="217"/>
      <c r="L22" s="232"/>
      <c r="M22" s="449"/>
      <c r="N22" s="443"/>
      <c r="O22" s="217"/>
      <c r="P22" s="229"/>
      <c r="Q22" s="209"/>
      <c r="R22" s="210"/>
      <c r="S22" s="217"/>
      <c r="T22" s="229"/>
      <c r="U22" s="209"/>
      <c r="V22" s="210"/>
      <c r="W22" s="217"/>
      <c r="X22" s="229"/>
      <c r="Y22" s="209"/>
      <c r="Z22" s="210"/>
      <c r="AA22" s="217"/>
      <c r="AB22" s="229"/>
      <c r="AC22" s="216"/>
      <c r="AD22" s="167"/>
    </row>
    <row r="23" spans="1:30" ht="25.5" x14ac:dyDescent="0.3">
      <c r="A23" s="209" t="s">
        <v>39</v>
      </c>
      <c r="B23" s="210" t="s">
        <v>65</v>
      </c>
      <c r="C23" s="228">
        <f>SUM('7990NTP-NP'!K13*1)</f>
        <v>0</v>
      </c>
      <c r="D23" s="224">
        <f>'7990NTP-NP'!C13</f>
        <v>0</v>
      </c>
      <c r="E23" s="209" t="s">
        <v>39</v>
      </c>
      <c r="F23" s="210" t="s">
        <v>65</v>
      </c>
      <c r="G23" s="211">
        <f>SUM('7990NTP-NP'!L13*1)</f>
        <v>0</v>
      </c>
      <c r="H23" s="224">
        <f>'7990NTP-NP'!D13</f>
        <v>0</v>
      </c>
      <c r="I23" s="226" t="s">
        <v>39</v>
      </c>
      <c r="J23" s="210" t="s">
        <v>65</v>
      </c>
      <c r="K23" s="211">
        <f>SUM('7990NTP-NP'!M13*1)</f>
        <v>0</v>
      </c>
      <c r="L23" s="233">
        <f>'7990NTP-NP'!E13</f>
        <v>0</v>
      </c>
      <c r="M23" s="449" t="s">
        <v>39</v>
      </c>
      <c r="N23" s="443" t="s">
        <v>65</v>
      </c>
      <c r="O23" s="211">
        <f>SUM('7990NTP-NP'!N13*1)</f>
        <v>0</v>
      </c>
      <c r="P23" s="224">
        <f>'7990NTP-NP'!I13</f>
        <v>0</v>
      </c>
      <c r="Q23" s="209" t="s">
        <v>39</v>
      </c>
      <c r="R23" s="210" t="s">
        <v>65</v>
      </c>
      <c r="S23" s="211">
        <f>SUM('7990NTP-NP'!O13*1)</f>
        <v>0</v>
      </c>
      <c r="T23" s="224">
        <f>'7990NTP-NP'!G13</f>
        <v>0</v>
      </c>
      <c r="U23" s="209" t="s">
        <v>39</v>
      </c>
      <c r="V23" s="210" t="s">
        <v>65</v>
      </c>
      <c r="W23" s="211">
        <f>SUM('7990NTP-NP'!P13*1)</f>
        <v>0</v>
      </c>
      <c r="X23" s="224">
        <f>'7990NTP-NP'!H13</f>
        <v>0</v>
      </c>
      <c r="Y23" s="209" t="s">
        <v>39</v>
      </c>
      <c r="Z23" s="210" t="s">
        <v>65</v>
      </c>
      <c r="AA23" s="211">
        <f>SUM('7990NTP-NP'!Q13*1)</f>
        <v>0</v>
      </c>
      <c r="AB23" s="224">
        <f>'7990NTP-NP'!I13</f>
        <v>0</v>
      </c>
      <c r="AC23" s="216">
        <f>IF(C23+G23+K23+O23+S23+W23+AA23&gt;0,C23+G23+K23+O23+S23+W23+AA23,0)</f>
        <v>0</v>
      </c>
      <c r="AD23" s="167"/>
    </row>
    <row r="24" spans="1:30" ht="14" x14ac:dyDescent="0.3">
      <c r="A24" s="209"/>
      <c r="B24" s="210"/>
      <c r="C24" s="230"/>
      <c r="D24" s="229"/>
      <c r="E24" s="209"/>
      <c r="F24" s="210"/>
      <c r="G24" s="217"/>
      <c r="H24" s="229"/>
      <c r="I24" s="226"/>
      <c r="J24" s="210"/>
      <c r="K24" s="217"/>
      <c r="L24" s="221"/>
      <c r="M24" s="449"/>
      <c r="N24" s="443"/>
      <c r="O24" s="217"/>
      <c r="P24" s="229"/>
      <c r="Q24" s="209"/>
      <c r="R24" s="210"/>
      <c r="S24" s="217"/>
      <c r="T24" s="229"/>
      <c r="U24" s="209"/>
      <c r="V24" s="210"/>
      <c r="W24" s="217"/>
      <c r="X24" s="229"/>
      <c r="Y24" s="209"/>
      <c r="Z24" s="210"/>
      <c r="AA24" s="217"/>
      <c r="AB24" s="229"/>
      <c r="AC24" s="216"/>
      <c r="AD24" s="167"/>
    </row>
    <row r="25" spans="1:30" ht="38" x14ac:dyDescent="0.3">
      <c r="A25" s="126" t="s">
        <v>200</v>
      </c>
      <c r="B25" s="121" t="s">
        <v>405</v>
      </c>
      <c r="C25" s="228">
        <f>ROUNDDOWN('7990NTP-NP'!K14-('7990NTP-NP'!K14*0.235),2)</f>
        <v>0</v>
      </c>
      <c r="D25" s="224">
        <f>'7990NTP-NP'!C14</f>
        <v>0</v>
      </c>
      <c r="E25" s="146" t="s">
        <v>200</v>
      </c>
      <c r="F25" s="121" t="s">
        <v>405</v>
      </c>
      <c r="G25" s="211">
        <f>ROUNDDOWN('7990NTP-NP'!L14-('7990NTP-NP'!L14*0.235),2)</f>
        <v>0</v>
      </c>
      <c r="H25" s="224">
        <f>'7990NTP-NP'!D14</f>
        <v>0</v>
      </c>
      <c r="I25" s="137" t="s">
        <v>200</v>
      </c>
      <c r="J25" s="121" t="s">
        <v>405</v>
      </c>
      <c r="K25" s="211">
        <f>ROUNDDOWN('7990NTP-NP'!M14-('7990NTP-NP'!M14*0.235),2)</f>
        <v>0</v>
      </c>
      <c r="L25" s="233">
        <f>'7990NTP-NP'!E14</f>
        <v>0</v>
      </c>
      <c r="M25" s="451" t="s">
        <v>200</v>
      </c>
      <c r="N25" s="444" t="s">
        <v>405</v>
      </c>
      <c r="O25" s="211">
        <f>ROUNDDOWN('7990NTP-NP'!N14-('7990NTP-NP'!N14*0.235),2)</f>
        <v>0</v>
      </c>
      <c r="P25" s="224">
        <f>'7990NTP-NP'!F14</f>
        <v>0</v>
      </c>
      <c r="Q25" s="146" t="s">
        <v>200</v>
      </c>
      <c r="R25" s="121" t="s">
        <v>405</v>
      </c>
      <c r="S25" s="211">
        <f>ROUNDDOWN('7990NTP-NP'!O14-('7990NTP-NP'!O14*0.235),2)</f>
        <v>0</v>
      </c>
      <c r="T25" s="224">
        <f>'7990NTP-NP'!G14</f>
        <v>0</v>
      </c>
      <c r="U25" s="146" t="s">
        <v>200</v>
      </c>
      <c r="V25" s="121" t="s">
        <v>405</v>
      </c>
      <c r="W25" s="211">
        <f>ROUNDDOWN('7990NTP-NP'!P14-('7990NTP-NP'!P14*0.235),2)</f>
        <v>0</v>
      </c>
      <c r="X25" s="224">
        <f>'7990NTP-NP'!H14</f>
        <v>0</v>
      </c>
      <c r="Y25" s="146" t="s">
        <v>200</v>
      </c>
      <c r="Z25" s="121" t="s">
        <v>405</v>
      </c>
      <c r="AA25" s="211">
        <f>ROUNDDOWN('7990NTP-NP'!Q14-('7990NTP-NP'!Q14*0.235),2)</f>
        <v>0</v>
      </c>
      <c r="AB25" s="224">
        <f>'7990NTP-NP'!I14</f>
        <v>0</v>
      </c>
      <c r="AC25" s="216">
        <f>IF(C25+G25+K25+O25+S25+W25+AA25&gt;0,C25+G25+K25+O25+S25+W25+AA25,0)</f>
        <v>0</v>
      </c>
      <c r="AD25" s="167"/>
    </row>
    <row r="26" spans="1:30" ht="38" x14ac:dyDescent="0.3">
      <c r="A26" s="126" t="s">
        <v>201</v>
      </c>
      <c r="B26" s="120" t="s">
        <v>426</v>
      </c>
      <c r="C26" s="228">
        <f>ROUNDUP('7990NTP-NP'!K14*0.235,2)</f>
        <v>0</v>
      </c>
      <c r="D26" s="234"/>
      <c r="E26" s="146" t="s">
        <v>201</v>
      </c>
      <c r="F26" s="120" t="s">
        <v>426</v>
      </c>
      <c r="G26" s="211">
        <f>ROUNDUP('7990NTP-NP'!L14*0.235,2)</f>
        <v>0</v>
      </c>
      <c r="H26" s="234"/>
      <c r="I26" s="137" t="s">
        <v>201</v>
      </c>
      <c r="J26" s="120" t="s">
        <v>426</v>
      </c>
      <c r="K26" s="211">
        <f>ROUNDUP('7990NTP-NP'!M14*0.235,2)</f>
        <v>0</v>
      </c>
      <c r="L26" s="214"/>
      <c r="M26" s="451" t="s">
        <v>201</v>
      </c>
      <c r="N26" s="440" t="s">
        <v>426</v>
      </c>
      <c r="O26" s="211">
        <f>ROUNDUP('7990NTP-NP'!N14*0.235,2)</f>
        <v>0</v>
      </c>
      <c r="P26" s="234"/>
      <c r="Q26" s="146" t="s">
        <v>201</v>
      </c>
      <c r="R26" s="120" t="s">
        <v>426</v>
      </c>
      <c r="S26" s="211">
        <f>ROUNDUP('7990NTP-NP'!O14*0.235,2)</f>
        <v>0</v>
      </c>
      <c r="T26" s="234"/>
      <c r="U26" s="146" t="s">
        <v>201</v>
      </c>
      <c r="V26" s="120" t="s">
        <v>426</v>
      </c>
      <c r="W26" s="211">
        <f>ROUNDUP('7990NTP-NP'!P14*0.235,2)</f>
        <v>0</v>
      </c>
      <c r="X26" s="234"/>
      <c r="Y26" s="146" t="s">
        <v>201</v>
      </c>
      <c r="Z26" s="120" t="s">
        <v>426</v>
      </c>
      <c r="AA26" s="211">
        <f>ROUNDUP('7990NTP-NP'!Q14*0.235,2)</f>
        <v>0</v>
      </c>
      <c r="AB26" s="234"/>
      <c r="AC26" s="216">
        <f>IF(C26+G26+K26+O26+S26+W26+AA26&gt;0,C26+G26+K26+O26+S26+W26+AA26,0)</f>
        <v>0</v>
      </c>
      <c r="AD26" s="167"/>
    </row>
    <row r="27" spans="1:30" ht="14" x14ac:dyDescent="0.3">
      <c r="A27" s="209"/>
      <c r="B27" s="210"/>
      <c r="C27" s="230"/>
      <c r="D27" s="229"/>
      <c r="E27" s="209"/>
      <c r="F27" s="210"/>
      <c r="G27" s="217"/>
      <c r="H27" s="229"/>
      <c r="I27" s="226"/>
      <c r="J27" s="210"/>
      <c r="K27" s="217"/>
      <c r="L27" s="221"/>
      <c r="M27" s="449"/>
      <c r="N27" s="443"/>
      <c r="O27" s="217"/>
      <c r="P27" s="229"/>
      <c r="Q27" s="209"/>
      <c r="R27" s="210"/>
      <c r="S27" s="217"/>
      <c r="T27" s="229"/>
      <c r="U27" s="209"/>
      <c r="V27" s="210"/>
      <c r="W27" s="217"/>
      <c r="X27" s="229"/>
      <c r="Y27" s="209"/>
      <c r="Z27" s="210"/>
      <c r="AA27" s="217"/>
      <c r="AB27" s="229"/>
      <c r="AC27" s="216"/>
      <c r="AD27" s="167"/>
    </row>
    <row r="28" spans="1:30" ht="38" x14ac:dyDescent="0.3">
      <c r="A28" s="127" t="s">
        <v>429</v>
      </c>
      <c r="B28" s="120" t="s">
        <v>427</v>
      </c>
      <c r="C28" s="228">
        <f>ROUNDDOWN('7990NTP-NP'!K15-('7990NTP-NP'!K15*0.3066),2)</f>
        <v>0</v>
      </c>
      <c r="D28" s="224">
        <f>'7990NTP-NP'!C15</f>
        <v>0</v>
      </c>
      <c r="E28" s="147" t="s">
        <v>429</v>
      </c>
      <c r="F28" s="120" t="s">
        <v>427</v>
      </c>
      <c r="G28" s="211">
        <f>ROUNDDOWN('7990NTP-NP'!L15-('7990NTP-NP'!L15*0.3066),2)</f>
        <v>0</v>
      </c>
      <c r="H28" s="224">
        <f>'7990NTP-NP'!D15</f>
        <v>0</v>
      </c>
      <c r="I28" s="138" t="s">
        <v>429</v>
      </c>
      <c r="J28" s="120" t="s">
        <v>427</v>
      </c>
      <c r="K28" s="211">
        <f>ROUNDDOWN('7990NTP-NP'!M15-('7990NTP-NP'!M15*0.3066),2)</f>
        <v>0</v>
      </c>
      <c r="L28" s="233">
        <f>'7990NTP-NP'!E15</f>
        <v>0</v>
      </c>
      <c r="M28" s="452" t="s">
        <v>429</v>
      </c>
      <c r="N28" s="440" t="s">
        <v>427</v>
      </c>
      <c r="O28" s="211">
        <f>ROUNDDOWN('7990NTP-NP'!N15-('7990NTP-NP'!N15*0.3066),2)</f>
        <v>0</v>
      </c>
      <c r="P28" s="224">
        <f>'7990NTP-NP'!F15</f>
        <v>0</v>
      </c>
      <c r="Q28" s="147" t="s">
        <v>429</v>
      </c>
      <c r="R28" s="120" t="s">
        <v>427</v>
      </c>
      <c r="S28" s="211">
        <f>ROUNDDOWN('7990NTP-NP'!O15-('7990NTP-NP'!O15*0.3066),2)</f>
        <v>0</v>
      </c>
      <c r="T28" s="224">
        <f>'7990NTP-NP'!G15</f>
        <v>0</v>
      </c>
      <c r="U28" s="147" t="s">
        <v>429</v>
      </c>
      <c r="V28" s="120" t="s">
        <v>427</v>
      </c>
      <c r="W28" s="211">
        <f>ROUNDDOWN('7990NTP-NP'!P15-('7990NTP-NP'!P15*0.3066),2)</f>
        <v>0</v>
      </c>
      <c r="X28" s="224">
        <f>'7990NTP-NP'!H15</f>
        <v>0</v>
      </c>
      <c r="Y28" s="147" t="s">
        <v>429</v>
      </c>
      <c r="Z28" s="120" t="s">
        <v>427</v>
      </c>
      <c r="AA28" s="211">
        <f>ROUNDDOWN('7990NTP-NP'!Q15-('7990NTP-NP'!Q15*0.3066),2)</f>
        <v>0</v>
      </c>
      <c r="AB28" s="224">
        <f>'7990NTP-NP'!I15</f>
        <v>0</v>
      </c>
      <c r="AC28" s="216">
        <f>IF(C28+G28+K28+O28+S28+W28+AA28&gt;0,C28+G28+K28+O28+S28+W28+AA28,0)</f>
        <v>0</v>
      </c>
      <c r="AD28" s="167"/>
    </row>
    <row r="29" spans="1:30" ht="38" x14ac:dyDescent="0.3">
      <c r="A29" s="127" t="s">
        <v>430</v>
      </c>
      <c r="B29" s="120" t="s">
        <v>428</v>
      </c>
      <c r="C29" s="228">
        <f>ROUNDUP('7990NTP-NP'!K15*0.3066,2)</f>
        <v>0</v>
      </c>
      <c r="D29" s="229"/>
      <c r="E29" s="147" t="s">
        <v>430</v>
      </c>
      <c r="F29" s="120" t="s">
        <v>428</v>
      </c>
      <c r="G29" s="211">
        <f>ROUNDUP('7990NTP-NP'!L15*0.3066,2)</f>
        <v>0</v>
      </c>
      <c r="H29" s="229"/>
      <c r="I29" s="138" t="s">
        <v>430</v>
      </c>
      <c r="J29" s="120" t="s">
        <v>428</v>
      </c>
      <c r="K29" s="211">
        <f>ROUNDUP('7990NTP-NP'!M15*0.3066,2)</f>
        <v>0</v>
      </c>
      <c r="L29" s="221"/>
      <c r="M29" s="452" t="s">
        <v>430</v>
      </c>
      <c r="N29" s="440" t="s">
        <v>428</v>
      </c>
      <c r="O29" s="211">
        <f>ROUNDUP('7990NTP-NP'!N15*0.3066,2)</f>
        <v>0</v>
      </c>
      <c r="P29" s="229"/>
      <c r="Q29" s="147" t="s">
        <v>430</v>
      </c>
      <c r="R29" s="120" t="s">
        <v>428</v>
      </c>
      <c r="S29" s="211">
        <f>ROUNDUP('7990NTP-NP'!O15*0.3066,2)</f>
        <v>0</v>
      </c>
      <c r="T29" s="229"/>
      <c r="U29" s="147" t="s">
        <v>430</v>
      </c>
      <c r="V29" s="120" t="s">
        <v>428</v>
      </c>
      <c r="W29" s="211">
        <f>ROUNDUP('7990NTP-NP'!P15*0.3066,2)</f>
        <v>0</v>
      </c>
      <c r="X29" s="229"/>
      <c r="Y29" s="147" t="s">
        <v>430</v>
      </c>
      <c r="Z29" s="120" t="s">
        <v>428</v>
      </c>
      <c r="AA29" s="211">
        <f>ROUNDUP('7990NTP-NP'!Q15*0.3066,2)</f>
        <v>0</v>
      </c>
      <c r="AB29" s="229"/>
      <c r="AC29" s="216">
        <f>IF(C29+G29+K29+O29+S29+W29+AA29&gt;0,C29+G29+K29+O29+S29+W29+AA29,0)</f>
        <v>0</v>
      </c>
      <c r="AD29" s="167"/>
    </row>
    <row r="30" spans="1:30" ht="14" x14ac:dyDescent="0.3">
      <c r="A30" s="209"/>
      <c r="B30" s="210"/>
      <c r="C30" s="230"/>
      <c r="D30" s="229"/>
      <c r="E30" s="209"/>
      <c r="F30" s="210"/>
      <c r="G30" s="217"/>
      <c r="H30" s="229"/>
      <c r="I30" s="226"/>
      <c r="J30" s="210"/>
      <c r="K30" s="217"/>
      <c r="L30" s="221"/>
      <c r="M30" s="449"/>
      <c r="N30" s="443"/>
      <c r="O30" s="217"/>
      <c r="P30" s="229"/>
      <c r="Q30" s="209"/>
      <c r="R30" s="210"/>
      <c r="S30" s="217"/>
      <c r="T30" s="229"/>
      <c r="U30" s="209"/>
      <c r="V30" s="210"/>
      <c r="W30" s="217"/>
      <c r="X30" s="229"/>
      <c r="Y30" s="209"/>
      <c r="Z30" s="210"/>
      <c r="AA30" s="217"/>
      <c r="AB30" s="229"/>
      <c r="AC30" s="216"/>
      <c r="AD30" s="167"/>
    </row>
    <row r="31" spans="1:30" ht="50.5" x14ac:dyDescent="0.3">
      <c r="A31" s="127" t="s">
        <v>202</v>
      </c>
      <c r="B31" s="120" t="s">
        <v>203</v>
      </c>
      <c r="C31" s="228">
        <f>ROUNDDOWN('7990NTP-NP'!K16-('7990NTP-NP'!K16*0.1916),2)</f>
        <v>0</v>
      </c>
      <c r="D31" s="224">
        <f>'7990NTP-NP'!C16</f>
        <v>0</v>
      </c>
      <c r="E31" s="147" t="s">
        <v>202</v>
      </c>
      <c r="F31" s="120" t="s">
        <v>468</v>
      </c>
      <c r="G31" s="211">
        <f>ROUNDDOWN('7990NTP-NP'!L16-('7990NTP-NP'!L16*0.1916),2)</f>
        <v>0</v>
      </c>
      <c r="H31" s="224">
        <f>'7990NTP-NP'!D16</f>
        <v>0</v>
      </c>
      <c r="I31" s="138" t="s">
        <v>202</v>
      </c>
      <c r="J31" s="120" t="s">
        <v>519</v>
      </c>
      <c r="K31" s="211">
        <f>ROUNDDOWN('7990NTP-NP'!M16-('7990NTP-NP'!M16*0.1916),2)</f>
        <v>0</v>
      </c>
      <c r="L31" s="233">
        <f>'7990NTP-NP'!E16</f>
        <v>0</v>
      </c>
      <c r="M31" s="452" t="s">
        <v>202</v>
      </c>
      <c r="N31" s="440" t="s">
        <v>569</v>
      </c>
      <c r="O31" s="211">
        <f>ROUNDDOWN('7990NTP-NP'!N16-('7990NTP-NP'!N16*0.1916),2)</f>
        <v>0</v>
      </c>
      <c r="P31" s="224">
        <f>'7990NTP-NP'!F16</f>
        <v>0</v>
      </c>
      <c r="Q31" s="147" t="s">
        <v>202</v>
      </c>
      <c r="R31" s="120" t="s">
        <v>587</v>
      </c>
      <c r="S31" s="211">
        <f>ROUNDDOWN('7990NTP-NP'!O16-('7990NTP-NP'!O16*0.1916),2)</f>
        <v>0</v>
      </c>
      <c r="T31" s="224">
        <f>'7990NTP-NP'!G16</f>
        <v>0</v>
      </c>
      <c r="U31" s="147" t="s">
        <v>202</v>
      </c>
      <c r="V31" s="120" t="s">
        <v>605</v>
      </c>
      <c r="W31" s="211">
        <f>ROUNDDOWN('7990NTP-NP'!P16-('7990NTP-NP'!P16*0.1916),2)</f>
        <v>0</v>
      </c>
      <c r="X31" s="224">
        <f>'7990NTP-NP'!H16</f>
        <v>0</v>
      </c>
      <c r="Y31" s="147" t="s">
        <v>202</v>
      </c>
      <c r="Z31" s="120" t="s">
        <v>623</v>
      </c>
      <c r="AA31" s="211">
        <f>ROUNDDOWN('7990NTP-NP'!Q16-('7990NTP-NP'!Q16*0.1916),2)</f>
        <v>0</v>
      </c>
      <c r="AB31" s="224">
        <f>'7990NTP-NP'!I16</f>
        <v>0</v>
      </c>
      <c r="AC31" s="216">
        <f>IF(C31+G31+K31+O31+S31+W31+AA31&gt;0,C31+G31+K31+O31+S31+W31+AA31,0)</f>
        <v>0</v>
      </c>
      <c r="AD31" s="167"/>
    </row>
    <row r="32" spans="1:30" ht="50.5" x14ac:dyDescent="0.3">
      <c r="A32" s="127" t="s">
        <v>204</v>
      </c>
      <c r="B32" s="120" t="s">
        <v>205</v>
      </c>
      <c r="C32" s="228">
        <f>ROUNDUP('7990NTP-NP'!K16*0.1916,2)</f>
        <v>0</v>
      </c>
      <c r="D32" s="234"/>
      <c r="E32" s="147" t="s">
        <v>204</v>
      </c>
      <c r="F32" s="120" t="s">
        <v>469</v>
      </c>
      <c r="G32" s="211">
        <f>ROUNDUP('7990NTP-NP'!L16*0.1916,2)</f>
        <v>0</v>
      </c>
      <c r="H32" s="234"/>
      <c r="I32" s="138" t="s">
        <v>204</v>
      </c>
      <c r="J32" s="120" t="s">
        <v>520</v>
      </c>
      <c r="K32" s="211">
        <f>ROUNDUP('7990NTP-NP'!M16*0.1916,2)</f>
        <v>0</v>
      </c>
      <c r="L32" s="214"/>
      <c r="M32" s="452" t="s">
        <v>204</v>
      </c>
      <c r="N32" s="440" t="s">
        <v>570</v>
      </c>
      <c r="O32" s="211">
        <f>ROUNDUP('7990NTP-NP'!N16*0.1916,2)</f>
        <v>0</v>
      </c>
      <c r="P32" s="234"/>
      <c r="Q32" s="147" t="s">
        <v>204</v>
      </c>
      <c r="R32" s="120" t="s">
        <v>588</v>
      </c>
      <c r="S32" s="211">
        <f>ROUNDUP('7990NTP-NP'!O16*0.1916,2)</f>
        <v>0</v>
      </c>
      <c r="T32" s="234"/>
      <c r="U32" s="147" t="s">
        <v>204</v>
      </c>
      <c r="V32" s="120" t="s">
        <v>606</v>
      </c>
      <c r="W32" s="211">
        <f>ROUNDUP('7990NTP-NP'!P16*0.1916,2)</f>
        <v>0</v>
      </c>
      <c r="X32" s="234"/>
      <c r="Y32" s="147" t="s">
        <v>204</v>
      </c>
      <c r="Z32" s="120" t="s">
        <v>624</v>
      </c>
      <c r="AA32" s="211">
        <f>ROUNDUP('7990NTP-NP'!Q16*0.1916,2)</f>
        <v>0</v>
      </c>
      <c r="AB32" s="234"/>
      <c r="AC32" s="216">
        <f>IF(C32+G32+K32+O32+S32+W32+AA32&gt;0,C32+G32+K32+O32+S32+W32+AA32,0)</f>
        <v>0</v>
      </c>
      <c r="AD32" s="167"/>
    </row>
    <row r="33" spans="1:30" ht="14" x14ac:dyDescent="0.3">
      <c r="A33" s="209"/>
      <c r="B33" s="210"/>
      <c r="C33" s="230"/>
      <c r="D33" s="229"/>
      <c r="E33" s="209"/>
      <c r="F33" s="210"/>
      <c r="G33" s="217"/>
      <c r="H33" s="229"/>
      <c r="I33" s="226"/>
      <c r="J33" s="210"/>
      <c r="K33" s="217"/>
      <c r="L33" s="221"/>
      <c r="M33" s="449"/>
      <c r="N33" s="443"/>
      <c r="O33" s="217"/>
      <c r="P33" s="229"/>
      <c r="Q33" s="209"/>
      <c r="R33" s="210"/>
      <c r="S33" s="217"/>
      <c r="T33" s="229"/>
      <c r="U33" s="209"/>
      <c r="V33" s="210"/>
      <c r="W33" s="217"/>
      <c r="X33" s="229"/>
      <c r="Y33" s="209"/>
      <c r="Z33" s="210"/>
      <c r="AA33" s="217"/>
      <c r="AB33" s="229"/>
      <c r="AC33" s="216"/>
      <c r="AD33" s="167"/>
    </row>
    <row r="34" spans="1:30" ht="50.5" x14ac:dyDescent="0.3">
      <c r="A34" s="126" t="s">
        <v>106</v>
      </c>
      <c r="B34" s="120" t="s">
        <v>97</v>
      </c>
      <c r="C34" s="228">
        <f>SUM('7990NTP-NP'!K17*1)</f>
        <v>0</v>
      </c>
      <c r="D34" s="224">
        <f>'7990NTP-NP'!C17</f>
        <v>0</v>
      </c>
      <c r="E34" s="146" t="s">
        <v>106</v>
      </c>
      <c r="F34" s="120" t="s">
        <v>470</v>
      </c>
      <c r="G34" s="211">
        <f>SUM('7990NTP-NP'!L17*1)</f>
        <v>0</v>
      </c>
      <c r="H34" s="224">
        <f>'7990NTP-NP'!D17</f>
        <v>0</v>
      </c>
      <c r="I34" s="137" t="s">
        <v>106</v>
      </c>
      <c r="J34" s="120" t="s">
        <v>521</v>
      </c>
      <c r="K34" s="211">
        <f>SUM('7990NTP-NP'!M17*1)</f>
        <v>0</v>
      </c>
      <c r="L34" s="233">
        <f>'7990NTP-NP'!E17</f>
        <v>0</v>
      </c>
      <c r="M34" s="451" t="s">
        <v>328</v>
      </c>
      <c r="N34" s="440" t="s">
        <v>329</v>
      </c>
      <c r="O34" s="211">
        <f>SUM('7990NTP-NP'!N17*1)</f>
        <v>0</v>
      </c>
      <c r="P34" s="224">
        <f>'7990NTP-NP'!F17</f>
        <v>0</v>
      </c>
      <c r="Q34" s="451" t="s">
        <v>328</v>
      </c>
      <c r="R34" s="440" t="s">
        <v>329</v>
      </c>
      <c r="S34" s="211">
        <f>SUM('7990NTP-NP'!O17*1)</f>
        <v>0</v>
      </c>
      <c r="T34" s="224">
        <f>'7990NTP-NP'!G17</f>
        <v>0</v>
      </c>
      <c r="U34" s="451" t="s">
        <v>328</v>
      </c>
      <c r="V34" s="440" t="s">
        <v>329</v>
      </c>
      <c r="W34" s="211">
        <f>SUM('7990NTP-NP'!P17*1)</f>
        <v>0</v>
      </c>
      <c r="X34" s="224">
        <f>'7990NTP-NP'!H17</f>
        <v>0</v>
      </c>
      <c r="Y34" s="451" t="s">
        <v>328</v>
      </c>
      <c r="Z34" s="440" t="s">
        <v>329</v>
      </c>
      <c r="AA34" s="211">
        <f>SUM('7990NTP-NP'!Q17*1)</f>
        <v>0</v>
      </c>
      <c r="AB34" s="224">
        <f>'7990NTP-NP'!I17</f>
        <v>0</v>
      </c>
      <c r="AC34" s="216">
        <f>IF(C34+G34+K34+O34+S34+W34+AA34&gt;0,C34+G34+K34+O34+S34+W34+AA34,0)</f>
        <v>0</v>
      </c>
      <c r="AD34" s="167"/>
    </row>
    <row r="35" spans="1:30" ht="14" x14ac:dyDescent="0.3">
      <c r="A35" s="209"/>
      <c r="B35" s="210"/>
      <c r="C35" s="230"/>
      <c r="D35" s="229"/>
      <c r="E35" s="209"/>
      <c r="F35" s="210"/>
      <c r="G35" s="217"/>
      <c r="H35" s="229"/>
      <c r="I35" s="226"/>
      <c r="J35" s="210"/>
      <c r="K35" s="217"/>
      <c r="L35" s="232"/>
      <c r="M35" s="449"/>
      <c r="N35" s="443"/>
      <c r="O35" s="217"/>
      <c r="P35" s="229"/>
      <c r="Q35" s="209"/>
      <c r="R35" s="210"/>
      <c r="S35" s="217"/>
      <c r="T35" s="229"/>
      <c r="U35" s="209"/>
      <c r="V35" s="210"/>
      <c r="W35" s="217"/>
      <c r="X35" s="229"/>
      <c r="Y35" s="209"/>
      <c r="Z35" s="210"/>
      <c r="AA35" s="217"/>
      <c r="AB35" s="229"/>
      <c r="AC35" s="216"/>
      <c r="AD35" s="167"/>
    </row>
    <row r="36" spans="1:30" ht="88" x14ac:dyDescent="0.3">
      <c r="A36" s="128" t="s">
        <v>206</v>
      </c>
      <c r="B36" s="122" t="s">
        <v>407</v>
      </c>
      <c r="C36" s="228">
        <f>ROUNDDOWN('7990NTP-NP'!K18-('7990NTP-NP'!K18*0.235),2)</f>
        <v>0</v>
      </c>
      <c r="D36" s="224">
        <f>'7990NTP-NP'!C18</f>
        <v>0</v>
      </c>
      <c r="E36" s="148" t="s">
        <v>206</v>
      </c>
      <c r="F36" s="122" t="s">
        <v>407</v>
      </c>
      <c r="G36" s="211">
        <f>ROUNDDOWN('7990NTP-NP'!L18-('7990NTP-NP'!L18*0.235),2)</f>
        <v>0</v>
      </c>
      <c r="H36" s="224">
        <f>'7990NTP-NP'!D18</f>
        <v>0</v>
      </c>
      <c r="I36" s="139" t="s">
        <v>206</v>
      </c>
      <c r="J36" s="122" t="s">
        <v>407</v>
      </c>
      <c r="K36" s="211">
        <f>ROUNDDOWN('7990NTP-NP'!M18-('7990NTP-NP'!M18*0.235),2)</f>
        <v>0</v>
      </c>
      <c r="L36" s="233">
        <f>'7990NTP-NP'!E18</f>
        <v>0</v>
      </c>
      <c r="M36" s="453" t="s">
        <v>206</v>
      </c>
      <c r="N36" s="440" t="s">
        <v>407</v>
      </c>
      <c r="O36" s="211">
        <f>ROUNDDOWN('7990NTP-NP'!N18-('7990NTP-NP'!N18*0.235),2)</f>
        <v>0</v>
      </c>
      <c r="P36" s="224">
        <f>'7990NTP-NP'!F18</f>
        <v>0</v>
      </c>
      <c r="Q36" s="148" t="s">
        <v>206</v>
      </c>
      <c r="R36" s="122" t="s">
        <v>407</v>
      </c>
      <c r="S36" s="211">
        <f>ROUNDDOWN('7990NTP-NP'!O18-('7990NTP-NP'!O18*0.235),2)</f>
        <v>0</v>
      </c>
      <c r="T36" s="224">
        <f>'7990NTP-NP'!G18</f>
        <v>0</v>
      </c>
      <c r="U36" s="148" t="s">
        <v>206</v>
      </c>
      <c r="V36" s="122" t="s">
        <v>407</v>
      </c>
      <c r="W36" s="211">
        <f>ROUNDDOWN('7990NTP-NP'!P18-('7990NTP-NP'!P18*0.235),2)</f>
        <v>0</v>
      </c>
      <c r="X36" s="224">
        <f>'7990NTP-NP'!H18</f>
        <v>0</v>
      </c>
      <c r="Y36" s="148" t="s">
        <v>206</v>
      </c>
      <c r="Z36" s="122" t="s">
        <v>407</v>
      </c>
      <c r="AA36" s="211">
        <f>ROUNDDOWN('7990NTP-NP'!Q18-('7990NTP-NP'!Q18*0.235),2)</f>
        <v>0</v>
      </c>
      <c r="AB36" s="224">
        <f>'7990NTP-NP'!I18</f>
        <v>0</v>
      </c>
      <c r="AC36" s="216">
        <f>IF(C36+G36+K36+O36+S36+W36+AA36&gt;0,C36+G36+K36+O36+S36+W36+AA36,0)</f>
        <v>0</v>
      </c>
      <c r="AD36" s="167"/>
    </row>
    <row r="37" spans="1:30" ht="88" x14ac:dyDescent="0.3">
      <c r="A37" s="128" t="s">
        <v>207</v>
      </c>
      <c r="B37" s="122" t="s">
        <v>431</v>
      </c>
      <c r="C37" s="228">
        <f>ROUNDUP('7990NTP-NP'!K18*0.235,2)</f>
        <v>0</v>
      </c>
      <c r="D37" s="234"/>
      <c r="E37" s="148" t="s">
        <v>207</v>
      </c>
      <c r="F37" s="122" t="s">
        <v>431</v>
      </c>
      <c r="G37" s="211">
        <f>ROUNDUP('7990NTP-NP'!L18*0.235,2)</f>
        <v>0</v>
      </c>
      <c r="H37" s="234"/>
      <c r="I37" s="139" t="s">
        <v>207</v>
      </c>
      <c r="J37" s="122" t="s">
        <v>431</v>
      </c>
      <c r="K37" s="211">
        <f>ROUNDUP('7990NTP-NP'!M18*0.235,2)</f>
        <v>0</v>
      </c>
      <c r="L37" s="214"/>
      <c r="M37" s="453" t="s">
        <v>207</v>
      </c>
      <c r="N37" s="440" t="s">
        <v>431</v>
      </c>
      <c r="O37" s="211">
        <f>ROUNDUP('7990NTP-NP'!N18*0.235,2)</f>
        <v>0</v>
      </c>
      <c r="P37" s="234"/>
      <c r="Q37" s="148" t="s">
        <v>207</v>
      </c>
      <c r="R37" s="122" t="s">
        <v>431</v>
      </c>
      <c r="S37" s="211">
        <f>ROUNDUP('7990NTP-NP'!O18*0.235,2)</f>
        <v>0</v>
      </c>
      <c r="T37" s="234"/>
      <c r="U37" s="148" t="s">
        <v>207</v>
      </c>
      <c r="V37" s="122" t="s">
        <v>431</v>
      </c>
      <c r="W37" s="211">
        <f>ROUNDUP('7990NTP-NP'!P18*0.235,2)</f>
        <v>0</v>
      </c>
      <c r="X37" s="234"/>
      <c r="Y37" s="148" t="s">
        <v>207</v>
      </c>
      <c r="Z37" s="122" t="s">
        <v>431</v>
      </c>
      <c r="AA37" s="211">
        <f>ROUNDUP('7990NTP-NP'!Q18*0.235,2)</f>
        <v>0</v>
      </c>
      <c r="AB37" s="234"/>
      <c r="AC37" s="216">
        <f>IF(C37+G37+K37+O37+S37+W37+AA37&gt;0,C37+G37+K37+O37+S37+W37+AA37,0)</f>
        <v>0</v>
      </c>
      <c r="AD37" s="167"/>
    </row>
    <row r="38" spans="1:30" ht="14" x14ac:dyDescent="0.3">
      <c r="A38" s="209"/>
      <c r="B38" s="210"/>
      <c r="C38" s="230"/>
      <c r="D38" s="229"/>
      <c r="E38" s="209"/>
      <c r="F38" s="210"/>
      <c r="G38" s="217"/>
      <c r="H38" s="229"/>
      <c r="I38" s="226"/>
      <c r="J38" s="210"/>
      <c r="K38" s="217"/>
      <c r="L38" s="221"/>
      <c r="M38" s="449"/>
      <c r="N38" s="443"/>
      <c r="O38" s="217"/>
      <c r="P38" s="229"/>
      <c r="Q38" s="209"/>
      <c r="R38" s="210"/>
      <c r="S38" s="217"/>
      <c r="T38" s="229"/>
      <c r="U38" s="209"/>
      <c r="V38" s="210"/>
      <c r="W38" s="217"/>
      <c r="X38" s="229"/>
      <c r="Y38" s="209"/>
      <c r="Z38" s="210"/>
      <c r="AA38" s="217"/>
      <c r="AB38" s="229"/>
      <c r="AC38" s="216"/>
      <c r="AD38" s="167"/>
    </row>
    <row r="39" spans="1:30" ht="64" customHeight="1" x14ac:dyDescent="0.3">
      <c r="A39" s="129" t="s">
        <v>434</v>
      </c>
      <c r="B39" s="122" t="s">
        <v>432</v>
      </c>
      <c r="C39" s="228">
        <f>ROUNDDOWN('7990NTP-NP'!K19-('7990NTP-NP'!K19*0.3066),2)</f>
        <v>0</v>
      </c>
      <c r="D39" s="224">
        <f>'7990NTP-NP'!C19</f>
        <v>0</v>
      </c>
      <c r="E39" s="149" t="s">
        <v>434</v>
      </c>
      <c r="F39" s="122" t="s">
        <v>432</v>
      </c>
      <c r="G39" s="211">
        <f>ROUNDDOWN('7990NTP-NP'!L19-('7990NTP-NP'!L19*0.3066),2)</f>
        <v>0</v>
      </c>
      <c r="H39" s="224">
        <f>'7990NTP-NP'!D19</f>
        <v>0</v>
      </c>
      <c r="I39" s="140" t="s">
        <v>434</v>
      </c>
      <c r="J39" s="122" t="s">
        <v>432</v>
      </c>
      <c r="K39" s="211">
        <f>ROUNDDOWN('7990NTP-NP'!M19-('7990NTP-NP'!M19*0.3066),2)</f>
        <v>0</v>
      </c>
      <c r="L39" s="233">
        <f>'7990NTP-NP'!E19</f>
        <v>0</v>
      </c>
      <c r="M39" s="452" t="s">
        <v>434</v>
      </c>
      <c r="N39" s="440" t="s">
        <v>432</v>
      </c>
      <c r="O39" s="211">
        <f>ROUNDDOWN('7990NTP-NP'!N19-('7990NTP-NP'!N19*0.3066),2)</f>
        <v>0</v>
      </c>
      <c r="P39" s="224">
        <f>'7990NTP-NP'!F19</f>
        <v>0</v>
      </c>
      <c r="Q39" s="149" t="s">
        <v>434</v>
      </c>
      <c r="R39" s="122" t="s">
        <v>432</v>
      </c>
      <c r="S39" s="211">
        <f>ROUNDDOWN('7990NTP-NP'!O19-('7990NTP-NP'!O19*0.3066),2)</f>
        <v>0</v>
      </c>
      <c r="T39" s="224">
        <f>'7990NTP-NP'!G19</f>
        <v>0</v>
      </c>
      <c r="U39" s="149" t="s">
        <v>434</v>
      </c>
      <c r="V39" s="122" t="s">
        <v>432</v>
      </c>
      <c r="W39" s="211">
        <f>ROUNDDOWN('7990NTP-NP'!P19-('7990NTP-NP'!P19*0.3066),2)</f>
        <v>0</v>
      </c>
      <c r="X39" s="224">
        <f>'7990NTP-NP'!H19</f>
        <v>0</v>
      </c>
      <c r="Y39" s="149" t="s">
        <v>434</v>
      </c>
      <c r="Z39" s="122" t="s">
        <v>432</v>
      </c>
      <c r="AA39" s="211">
        <f>ROUNDDOWN('7990NTP-NP'!Q19-('7990NTP-NP'!Q19*0.3066),2)</f>
        <v>0</v>
      </c>
      <c r="AB39" s="224">
        <f>'7990NTP-NP'!I19</f>
        <v>0</v>
      </c>
      <c r="AC39" s="216">
        <f>IF(C39+G39+K39+O39+S39+W39+AA39&gt;0,C39+G39+K39+O39+S39+W39+AA39,0)</f>
        <v>0</v>
      </c>
      <c r="AD39" s="167"/>
    </row>
    <row r="40" spans="1:30" ht="88" x14ac:dyDescent="0.3">
      <c r="A40" s="129" t="s">
        <v>435</v>
      </c>
      <c r="B40" s="122" t="s">
        <v>433</v>
      </c>
      <c r="C40" s="228">
        <f>ROUNDUP('7990NTP-NP'!K19*0.3066,2)</f>
        <v>0</v>
      </c>
      <c r="D40" s="229"/>
      <c r="E40" s="149" t="s">
        <v>435</v>
      </c>
      <c r="F40" s="122" t="s">
        <v>433</v>
      </c>
      <c r="G40" s="211">
        <f>ROUNDUP('7990NTP-NP'!L19*0.3066,2)</f>
        <v>0</v>
      </c>
      <c r="H40" s="229"/>
      <c r="I40" s="140" t="s">
        <v>435</v>
      </c>
      <c r="J40" s="122" t="s">
        <v>433</v>
      </c>
      <c r="K40" s="211">
        <f>ROUNDUP('7990NTP-NP'!M19*0.3066,2)</f>
        <v>0</v>
      </c>
      <c r="L40" s="221"/>
      <c r="M40" s="452" t="s">
        <v>435</v>
      </c>
      <c r="N40" s="440" t="s">
        <v>433</v>
      </c>
      <c r="O40" s="211">
        <f>ROUNDUP('7990NTP-NP'!N19*0.3066,2)</f>
        <v>0</v>
      </c>
      <c r="P40" s="229"/>
      <c r="Q40" s="149" t="s">
        <v>435</v>
      </c>
      <c r="R40" s="122" t="s">
        <v>433</v>
      </c>
      <c r="S40" s="211">
        <f>ROUNDUP('7990NTP-NP'!O19*0.3066,2)</f>
        <v>0</v>
      </c>
      <c r="T40" s="229"/>
      <c r="U40" s="149" t="s">
        <v>435</v>
      </c>
      <c r="V40" s="122" t="s">
        <v>433</v>
      </c>
      <c r="W40" s="211">
        <f>ROUNDUP('7990NTP-NP'!P19*0.3066,2)</f>
        <v>0</v>
      </c>
      <c r="X40" s="229"/>
      <c r="Y40" s="149" t="s">
        <v>435</v>
      </c>
      <c r="Z40" s="122" t="s">
        <v>433</v>
      </c>
      <c r="AA40" s="211">
        <f>ROUNDUP('7990NTP-NP'!Q19*0.3066,2)</f>
        <v>0</v>
      </c>
      <c r="AB40" s="229"/>
      <c r="AC40" s="216">
        <f>IF(C40+G40+K40+O40+S40+W40+AA40&gt;0,C40+G40+K40+O40+S40+W40+AA40,0)</f>
        <v>0</v>
      </c>
      <c r="AD40" s="167"/>
    </row>
    <row r="41" spans="1:30" ht="14" x14ac:dyDescent="0.3">
      <c r="A41" s="209"/>
      <c r="B41" s="210"/>
      <c r="C41" s="230"/>
      <c r="D41" s="229"/>
      <c r="E41" s="209"/>
      <c r="F41" s="210"/>
      <c r="G41" s="217"/>
      <c r="H41" s="229"/>
      <c r="I41" s="226"/>
      <c r="J41" s="210"/>
      <c r="K41" s="217"/>
      <c r="L41" s="221"/>
      <c r="M41" s="449"/>
      <c r="N41" s="443"/>
      <c r="O41" s="217"/>
      <c r="P41" s="229"/>
      <c r="Q41" s="209"/>
      <c r="R41" s="210"/>
      <c r="S41" s="217"/>
      <c r="T41" s="229"/>
      <c r="U41" s="209"/>
      <c r="V41" s="210"/>
      <c r="W41" s="217"/>
      <c r="X41" s="229"/>
      <c r="Y41" s="209"/>
      <c r="Z41" s="210"/>
      <c r="AA41" s="217"/>
      <c r="AB41" s="229"/>
      <c r="AC41" s="216"/>
      <c r="AD41" s="167"/>
    </row>
    <row r="42" spans="1:30" ht="100.5" x14ac:dyDescent="0.3">
      <c r="A42" s="129" t="s">
        <v>208</v>
      </c>
      <c r="B42" s="122" t="s">
        <v>209</v>
      </c>
      <c r="C42" s="228">
        <f>ROUNDDOWN('7990NTP-NP'!K20-('7990NTP-NP'!K20*0.1916),2)</f>
        <v>0</v>
      </c>
      <c r="D42" s="224">
        <f>'7990NTP-NP'!C20</f>
        <v>0</v>
      </c>
      <c r="E42" s="149" t="s">
        <v>208</v>
      </c>
      <c r="F42" s="122" t="s">
        <v>471</v>
      </c>
      <c r="G42" s="211">
        <f>ROUNDDOWN('7990NTP-NP'!L20-('7990NTP-NP'!L20*0.1916),2)</f>
        <v>0</v>
      </c>
      <c r="H42" s="224">
        <f>'7990NTP-NP'!D20</f>
        <v>0</v>
      </c>
      <c r="I42" s="140" t="s">
        <v>208</v>
      </c>
      <c r="J42" s="122" t="s">
        <v>522</v>
      </c>
      <c r="K42" s="211">
        <f>ROUNDDOWN('7990NTP-NP'!M20-('7990NTP-NP'!M20*0.1916),2)</f>
        <v>0</v>
      </c>
      <c r="L42" s="233">
        <f>'7990NTP-NP'!E20</f>
        <v>0</v>
      </c>
      <c r="M42" s="452" t="s">
        <v>208</v>
      </c>
      <c r="N42" s="440" t="s">
        <v>571</v>
      </c>
      <c r="O42" s="211">
        <f>ROUNDDOWN('7990NTP-NP'!N20-('7990NTP-NP'!N20*0.1916),2)</f>
        <v>0</v>
      </c>
      <c r="P42" s="224">
        <f>'7990NTP-NP'!F20</f>
        <v>0</v>
      </c>
      <c r="Q42" s="149" t="s">
        <v>208</v>
      </c>
      <c r="R42" s="122" t="s">
        <v>589</v>
      </c>
      <c r="S42" s="211">
        <f>ROUNDDOWN('7990NTP-NP'!O20-('7990NTP-NP'!O20*0.1916),2)</f>
        <v>0</v>
      </c>
      <c r="T42" s="224">
        <f>'7990NTP-NP'!G20</f>
        <v>0</v>
      </c>
      <c r="U42" s="149" t="s">
        <v>208</v>
      </c>
      <c r="V42" s="122" t="s">
        <v>607</v>
      </c>
      <c r="W42" s="211">
        <f>ROUNDDOWN('7990NTP-NP'!P20-('7990NTP-NP'!P20*0.1916),2)</f>
        <v>0</v>
      </c>
      <c r="X42" s="224">
        <f>'7990NTP-NP'!H20</f>
        <v>0</v>
      </c>
      <c r="Y42" s="149" t="s">
        <v>208</v>
      </c>
      <c r="Z42" s="122" t="s">
        <v>625</v>
      </c>
      <c r="AA42" s="211">
        <f>ROUNDDOWN('7990NTP-NP'!Q20-('7990NTP-NP'!Q20*0.1916),2)</f>
        <v>0</v>
      </c>
      <c r="AB42" s="224">
        <f>'7990NTP-NP'!I20</f>
        <v>0</v>
      </c>
      <c r="AC42" s="216">
        <f>IF(C42+G42+K42+O42+S42+W42+AA42&gt;0,C42+G42+K42+O42+S42+W42+AA42,0)</f>
        <v>0</v>
      </c>
      <c r="AD42" s="167"/>
    </row>
    <row r="43" spans="1:30" ht="100.5" x14ac:dyDescent="0.3">
      <c r="A43" s="129" t="s">
        <v>210</v>
      </c>
      <c r="B43" s="122" t="s">
        <v>211</v>
      </c>
      <c r="C43" s="228">
        <f>ROUNDUP('7990NTP-NP'!K20*0.1916,2)</f>
        <v>0</v>
      </c>
      <c r="D43" s="234"/>
      <c r="E43" s="149" t="s">
        <v>210</v>
      </c>
      <c r="F43" s="122" t="s">
        <v>472</v>
      </c>
      <c r="G43" s="211">
        <f>ROUNDUP('7990NTP-NP'!L20*0.1916,2)</f>
        <v>0</v>
      </c>
      <c r="H43" s="234"/>
      <c r="I43" s="140" t="s">
        <v>210</v>
      </c>
      <c r="J43" s="122" t="s">
        <v>523</v>
      </c>
      <c r="K43" s="211">
        <f>ROUNDUP('7990NTP-NP'!M20*0.1916,2)</f>
        <v>0</v>
      </c>
      <c r="L43" s="214"/>
      <c r="M43" s="452" t="s">
        <v>210</v>
      </c>
      <c r="N43" s="440" t="s">
        <v>572</v>
      </c>
      <c r="O43" s="211">
        <f>ROUNDUP('7990NTP-NP'!N20*0.1916,2)</f>
        <v>0</v>
      </c>
      <c r="P43" s="234"/>
      <c r="Q43" s="149" t="s">
        <v>210</v>
      </c>
      <c r="R43" s="122" t="s">
        <v>590</v>
      </c>
      <c r="S43" s="211">
        <f>ROUNDUP('7990NTP-NP'!O20*0.1916,2)</f>
        <v>0</v>
      </c>
      <c r="T43" s="234"/>
      <c r="U43" s="149" t="s">
        <v>210</v>
      </c>
      <c r="V43" s="122" t="s">
        <v>608</v>
      </c>
      <c r="W43" s="211">
        <f>ROUNDUP('7990NTP-NP'!P20*0.1916,2)</f>
        <v>0</v>
      </c>
      <c r="X43" s="234"/>
      <c r="Y43" s="149" t="s">
        <v>210</v>
      </c>
      <c r="Z43" s="122" t="s">
        <v>626</v>
      </c>
      <c r="AA43" s="211">
        <f>ROUNDUP('7990NTP-NP'!Q20*0.1916,2)</f>
        <v>0</v>
      </c>
      <c r="AB43" s="234"/>
      <c r="AC43" s="216">
        <f>IF(C43+G43+K43+O43+S43+W43+AA43&gt;0,C43+G43+K43+O43+S43+W43+AA43,0)</f>
        <v>0</v>
      </c>
      <c r="AD43" s="167"/>
    </row>
    <row r="44" spans="1:30" ht="14" x14ac:dyDescent="0.3">
      <c r="A44" s="209"/>
      <c r="B44" s="210"/>
      <c r="C44" s="230"/>
      <c r="D44" s="229"/>
      <c r="E44" s="209"/>
      <c r="F44" s="210"/>
      <c r="G44" s="217"/>
      <c r="H44" s="229"/>
      <c r="I44" s="226"/>
      <c r="J44" s="210"/>
      <c r="K44" s="217"/>
      <c r="L44" s="221"/>
      <c r="M44" s="449"/>
      <c r="N44" s="443"/>
      <c r="O44" s="217"/>
      <c r="P44" s="229"/>
      <c r="Q44" s="209"/>
      <c r="R44" s="210"/>
      <c r="S44" s="217"/>
      <c r="T44" s="229"/>
      <c r="U44" s="209"/>
      <c r="V44" s="210"/>
      <c r="W44" s="217"/>
      <c r="X44" s="229"/>
      <c r="Y44" s="209"/>
      <c r="Z44" s="210"/>
      <c r="AA44" s="217"/>
      <c r="AB44" s="229"/>
      <c r="AC44" s="216"/>
      <c r="AD44" s="167"/>
    </row>
    <row r="45" spans="1:30" ht="65" customHeight="1" x14ac:dyDescent="0.3">
      <c r="A45" s="130" t="s">
        <v>180</v>
      </c>
      <c r="B45" s="123" t="s">
        <v>181</v>
      </c>
      <c r="C45" s="228">
        <f>ROUNDDOWN('7990NTP-NP'!K21-('7990NTP-NP'!K21*0.3066),2)</f>
        <v>0</v>
      </c>
      <c r="D45" s="224">
        <f>'7990NTP-NP'!C21</f>
        <v>0</v>
      </c>
      <c r="E45" s="150" t="s">
        <v>180</v>
      </c>
      <c r="F45" s="151" t="s">
        <v>473</v>
      </c>
      <c r="G45" s="211">
        <f>ROUNDDOWN('7990NTP-NP'!L21-('7990NTP-NP'!L21*0.3066),2)</f>
        <v>0</v>
      </c>
      <c r="H45" s="224">
        <f>'7990NTP-NP'!D21</f>
        <v>0</v>
      </c>
      <c r="I45" s="141" t="s">
        <v>180</v>
      </c>
      <c r="J45" s="123" t="s">
        <v>524</v>
      </c>
      <c r="K45" s="211">
        <f>ROUNDDOWN('7990NTP-NP'!M21-('7990NTP-NP'!M21*0.3066),2)</f>
        <v>0</v>
      </c>
      <c r="L45" s="233">
        <f>'7990NTP-NP'!E21</f>
        <v>0</v>
      </c>
      <c r="M45" s="452" t="s">
        <v>180</v>
      </c>
      <c r="N45" s="440" t="s">
        <v>573</v>
      </c>
      <c r="O45" s="211">
        <f>ROUNDDOWN('7990NTP-NP'!N21-('7990NTP-NP'!N21*0.3066),2)</f>
        <v>0</v>
      </c>
      <c r="P45" s="224">
        <f>'7990NTP-NP'!F21</f>
        <v>0</v>
      </c>
      <c r="Q45" s="150" t="s">
        <v>180</v>
      </c>
      <c r="R45" s="151" t="s">
        <v>591</v>
      </c>
      <c r="S45" s="211">
        <f>ROUNDDOWN('7990NTP-NP'!O21-('7990NTP-NP'!O21*0.3066),2)</f>
        <v>0</v>
      </c>
      <c r="T45" s="224">
        <f>'7990NTP-NP'!G21</f>
        <v>0</v>
      </c>
      <c r="U45" s="150" t="s">
        <v>180</v>
      </c>
      <c r="V45" s="151" t="s">
        <v>609</v>
      </c>
      <c r="W45" s="211">
        <f>ROUNDDOWN('7990NTP-NP'!P21-('7990NTP-NP'!P21*0.3066),2)</f>
        <v>0</v>
      </c>
      <c r="X45" s="224">
        <f>'7990NTP-NP'!H21</f>
        <v>0</v>
      </c>
      <c r="Y45" s="150" t="s">
        <v>180</v>
      </c>
      <c r="Z45" s="151" t="s">
        <v>627</v>
      </c>
      <c r="AA45" s="211">
        <f>ROUNDDOWN('7990NTP-NP'!Q21-('7990NTP-NP'!Q21*0.3066),2)</f>
        <v>0</v>
      </c>
      <c r="AB45" s="224">
        <f>'7990NTP-NP'!I21</f>
        <v>0</v>
      </c>
      <c r="AC45" s="216">
        <f>IF(C45+G45+K45+O45+S45+W45+AA45&gt;0,C45+G45+K45+O45+S45+W45+AA45,0)</f>
        <v>0</v>
      </c>
      <c r="AD45" s="167"/>
    </row>
    <row r="46" spans="1:30" ht="50.5" x14ac:dyDescent="0.3">
      <c r="A46" s="130" t="s">
        <v>182</v>
      </c>
      <c r="B46" s="123" t="s">
        <v>183</v>
      </c>
      <c r="C46" s="228">
        <f>ROUNDUP('7990NTP-NP'!K21*0.3066,2)</f>
        <v>0</v>
      </c>
      <c r="D46" s="229"/>
      <c r="E46" s="150" t="s">
        <v>182</v>
      </c>
      <c r="F46" s="151" t="s">
        <v>474</v>
      </c>
      <c r="G46" s="211">
        <f>ROUNDUP('7990NTP-NP'!L21*0.3066,2)</f>
        <v>0</v>
      </c>
      <c r="H46" s="229"/>
      <c r="I46" s="141" t="s">
        <v>182</v>
      </c>
      <c r="J46" s="123" t="s">
        <v>525</v>
      </c>
      <c r="K46" s="211">
        <f>ROUNDUP('7990NTP-NP'!M21*0.3066,2)</f>
        <v>0</v>
      </c>
      <c r="L46" s="221"/>
      <c r="M46" s="452" t="s">
        <v>182</v>
      </c>
      <c r="N46" s="440" t="s">
        <v>574</v>
      </c>
      <c r="O46" s="211">
        <f>ROUNDUP('7990NTP-NP'!N21*0.3066,2)</f>
        <v>0</v>
      </c>
      <c r="P46" s="229"/>
      <c r="Q46" s="150" t="s">
        <v>182</v>
      </c>
      <c r="R46" s="151" t="s">
        <v>592</v>
      </c>
      <c r="S46" s="211">
        <f>ROUNDUP('7990NTP-NP'!O21*0.3066,2)</f>
        <v>0</v>
      </c>
      <c r="T46" s="229"/>
      <c r="U46" s="150" t="s">
        <v>182</v>
      </c>
      <c r="V46" s="151" t="s">
        <v>610</v>
      </c>
      <c r="W46" s="211">
        <f>ROUNDUP('7990NTP-NP'!P21*0.3066,2)</f>
        <v>0</v>
      </c>
      <c r="X46" s="229"/>
      <c r="Y46" s="150" t="s">
        <v>182</v>
      </c>
      <c r="Z46" s="151" t="s">
        <v>628</v>
      </c>
      <c r="AA46" s="211">
        <f>ROUNDUP('7990NTP-NP'!Q21*0.3066,2)</f>
        <v>0</v>
      </c>
      <c r="AB46" s="229"/>
      <c r="AC46" s="216">
        <f>IF(C46+G46+K46+O46+S46+W46+AA46&gt;0,C46+G46+K46+O46+S46+W46+AA46,0)</f>
        <v>0</v>
      </c>
      <c r="AD46" s="167"/>
    </row>
    <row r="47" spans="1:30" ht="14" x14ac:dyDescent="0.3">
      <c r="A47" s="209"/>
      <c r="B47" s="210"/>
      <c r="C47" s="230"/>
      <c r="D47" s="229"/>
      <c r="E47" s="209"/>
      <c r="F47" s="210"/>
      <c r="G47" s="217"/>
      <c r="H47" s="229"/>
      <c r="I47" s="226"/>
      <c r="J47" s="210"/>
      <c r="K47" s="217"/>
      <c r="L47" s="221"/>
      <c r="M47" s="449"/>
      <c r="N47" s="443"/>
      <c r="O47" s="217"/>
      <c r="P47" s="229"/>
      <c r="Q47" s="209"/>
      <c r="R47" s="210"/>
      <c r="S47" s="217"/>
      <c r="T47" s="229"/>
      <c r="U47" s="209"/>
      <c r="V47" s="210"/>
      <c r="W47" s="217"/>
      <c r="X47" s="229"/>
      <c r="Y47" s="209"/>
      <c r="Z47" s="210"/>
      <c r="AA47" s="217"/>
      <c r="AB47" s="229"/>
      <c r="AC47" s="216"/>
      <c r="AD47" s="167"/>
    </row>
    <row r="48" spans="1:30" ht="38" x14ac:dyDescent="0.3">
      <c r="A48" s="131" t="s">
        <v>437</v>
      </c>
      <c r="B48" s="124" t="s">
        <v>409</v>
      </c>
      <c r="C48" s="228">
        <f>ROUNDDOWN('7990NTP-NP'!K22-('7990NTP-NP'!K22*0.3066),2)</f>
        <v>0</v>
      </c>
      <c r="D48" s="224">
        <f>'7990NTP-NP'!C22</f>
        <v>0</v>
      </c>
      <c r="E48" s="152" t="s">
        <v>437</v>
      </c>
      <c r="F48" s="153" t="s">
        <v>409</v>
      </c>
      <c r="G48" s="211">
        <f>ROUNDDOWN('7990NTP-NP'!L22-('7990NTP-NP'!L22*0.3066),2)</f>
        <v>0</v>
      </c>
      <c r="H48" s="224">
        <f>'7990NTP-NP'!D22</f>
        <v>0</v>
      </c>
      <c r="I48" s="142" t="s">
        <v>437</v>
      </c>
      <c r="J48" s="124" t="s">
        <v>409</v>
      </c>
      <c r="K48" s="211">
        <f>ROUNDDOWN('7990NTP-NP'!M22-('7990NTP-NP'!M22*0.3066),2)</f>
        <v>0</v>
      </c>
      <c r="L48" s="233">
        <f>'7990NTP-NP'!E22</f>
        <v>0</v>
      </c>
      <c r="M48" s="451" t="s">
        <v>437</v>
      </c>
      <c r="N48" s="444" t="s">
        <v>409</v>
      </c>
      <c r="O48" s="211">
        <f>ROUNDDOWN('7990NTP-NP'!N22-('7990NTP-NP'!N22*0.3066),2)</f>
        <v>0</v>
      </c>
      <c r="P48" s="224">
        <f>'7990NTP-NP'!F22</f>
        <v>0</v>
      </c>
      <c r="Q48" s="152" t="s">
        <v>437</v>
      </c>
      <c r="R48" s="153" t="s">
        <v>409</v>
      </c>
      <c r="S48" s="211">
        <f>ROUNDDOWN('7990NTP-NP'!O22-('7990NTP-NP'!O22*0.3066),2)</f>
        <v>0</v>
      </c>
      <c r="T48" s="224">
        <f>'7990NTP-NP'!G22</f>
        <v>0</v>
      </c>
      <c r="U48" s="152" t="s">
        <v>437</v>
      </c>
      <c r="V48" s="153" t="s">
        <v>409</v>
      </c>
      <c r="W48" s="211">
        <f>ROUNDDOWN('7990NTP-NP'!P22-('7990NTP-NP'!P22*0.3066),2)</f>
        <v>0</v>
      </c>
      <c r="X48" s="224">
        <f>'7990NTP-NP'!H22</f>
        <v>0</v>
      </c>
      <c r="Y48" s="152" t="s">
        <v>437</v>
      </c>
      <c r="Z48" s="153" t="s">
        <v>409</v>
      </c>
      <c r="AA48" s="211">
        <f>ROUNDDOWN('7990NTP-NP'!Q22-('7990NTP-NP'!Q22*0.3066),2)</f>
        <v>0</v>
      </c>
      <c r="AB48" s="224">
        <f>'7990NTP-NP'!I22</f>
        <v>0</v>
      </c>
      <c r="AC48" s="216">
        <f>IF(C48+G48+K48+O48+S48+W48+AA48&gt;0,C48+G48+K48+O48+S48+W48+AA48,0)</f>
        <v>0</v>
      </c>
      <c r="AD48" s="167"/>
    </row>
    <row r="49" spans="1:30" ht="38" x14ac:dyDescent="0.3">
      <c r="A49" s="131" t="s">
        <v>438</v>
      </c>
      <c r="B49" s="124" t="s">
        <v>436</v>
      </c>
      <c r="C49" s="228">
        <f>ROUNDUP('7990NTP-NP'!K22*0.3066,2)</f>
        <v>0</v>
      </c>
      <c r="D49" s="234"/>
      <c r="E49" s="152" t="s">
        <v>438</v>
      </c>
      <c r="F49" s="153" t="s">
        <v>436</v>
      </c>
      <c r="G49" s="211">
        <f>ROUNDUP('7990NTP-NP'!L22*0.3066,2)</f>
        <v>0</v>
      </c>
      <c r="H49" s="234"/>
      <c r="I49" s="142" t="s">
        <v>438</v>
      </c>
      <c r="J49" s="124" t="s">
        <v>436</v>
      </c>
      <c r="K49" s="211">
        <f>ROUNDUP('7990NTP-NP'!M22*0.3066,2)</f>
        <v>0</v>
      </c>
      <c r="L49" s="214"/>
      <c r="M49" s="451" t="s">
        <v>438</v>
      </c>
      <c r="N49" s="444" t="s">
        <v>436</v>
      </c>
      <c r="O49" s="211">
        <f>ROUNDUP('7990NTP-NP'!N22*0.3066,2)</f>
        <v>0</v>
      </c>
      <c r="P49" s="234"/>
      <c r="Q49" s="152" t="s">
        <v>438</v>
      </c>
      <c r="R49" s="153" t="s">
        <v>436</v>
      </c>
      <c r="S49" s="211">
        <f>ROUNDUP('7990NTP-NP'!O22*0.3066,2)</f>
        <v>0</v>
      </c>
      <c r="T49" s="234"/>
      <c r="U49" s="152" t="s">
        <v>438</v>
      </c>
      <c r="V49" s="153" t="s">
        <v>436</v>
      </c>
      <c r="W49" s="211">
        <f>ROUNDUP('7990NTP-NP'!P22*0.3066,2)</f>
        <v>0</v>
      </c>
      <c r="X49" s="234"/>
      <c r="Y49" s="152" t="s">
        <v>438</v>
      </c>
      <c r="Z49" s="153" t="s">
        <v>436</v>
      </c>
      <c r="AA49" s="211">
        <f>ROUNDUP('7990NTP-NP'!Q22*0.3066,2)</f>
        <v>0</v>
      </c>
      <c r="AB49" s="234"/>
      <c r="AC49" s="216">
        <f>IF(C49+G49+K49+O49+S49+W49+AA49&gt;0,C49+G49+K49+O49+S49+W49+AA49,0)</f>
        <v>0</v>
      </c>
      <c r="AD49" s="167"/>
    </row>
    <row r="50" spans="1:30" ht="14" x14ac:dyDescent="0.3">
      <c r="A50" s="209"/>
      <c r="B50" s="210"/>
      <c r="C50" s="230"/>
      <c r="D50" s="229"/>
      <c r="E50" s="209"/>
      <c r="F50" s="210"/>
      <c r="G50" s="217"/>
      <c r="H50" s="229"/>
      <c r="I50" s="226"/>
      <c r="J50" s="210"/>
      <c r="K50" s="217"/>
      <c r="L50" s="221"/>
      <c r="M50" s="449"/>
      <c r="N50" s="443"/>
      <c r="O50" s="217"/>
      <c r="P50" s="229"/>
      <c r="Q50" s="209"/>
      <c r="R50" s="210"/>
      <c r="S50" s="217"/>
      <c r="T50" s="229"/>
      <c r="U50" s="209"/>
      <c r="V50" s="210"/>
      <c r="W50" s="217"/>
      <c r="X50" s="229"/>
      <c r="Y50" s="209"/>
      <c r="Z50" s="210"/>
      <c r="AA50" s="217"/>
      <c r="AB50" s="229"/>
      <c r="AC50" s="216"/>
      <c r="AD50" s="167"/>
    </row>
    <row r="51" spans="1:30" ht="78" customHeight="1" x14ac:dyDescent="0.3">
      <c r="A51" s="128" t="s">
        <v>212</v>
      </c>
      <c r="B51" s="123" t="s">
        <v>410</v>
      </c>
      <c r="C51" s="228">
        <f>ROUNDDOWN('7990NTP-NP'!K26-('7990NTP-NP'!K26*0.235),2)</f>
        <v>0</v>
      </c>
      <c r="D51" s="224">
        <f>'7990NTP-NP'!C26</f>
        <v>0</v>
      </c>
      <c r="E51" s="148" t="s">
        <v>212</v>
      </c>
      <c r="F51" s="151" t="s">
        <v>410</v>
      </c>
      <c r="G51" s="211">
        <f>ROUNDDOWN('7990NTP-NP'!L26-('7990NTP-NP'!L26*0.235),2)</f>
        <v>0</v>
      </c>
      <c r="H51" s="224">
        <f>'7990NTP-NP'!D26</f>
        <v>0</v>
      </c>
      <c r="I51" s="139" t="s">
        <v>212</v>
      </c>
      <c r="J51" s="123" t="s">
        <v>410</v>
      </c>
      <c r="K51" s="211">
        <f>ROUNDDOWN('7990NTP-NP'!M26-('7990NTP-NP'!M26*0.235),2)</f>
        <v>0</v>
      </c>
      <c r="L51" s="233">
        <f>'7990NTP-NP'!E26</f>
        <v>0</v>
      </c>
      <c r="M51" s="453" t="s">
        <v>212</v>
      </c>
      <c r="N51" s="440" t="s">
        <v>410</v>
      </c>
      <c r="O51" s="211">
        <f>ROUNDDOWN('7990NTP-NP'!N26-('7990NTP-NP'!N26*0.235),2)</f>
        <v>0</v>
      </c>
      <c r="P51" s="224">
        <f>'7990NTP-NP'!F26</f>
        <v>0</v>
      </c>
      <c r="Q51" s="148" t="s">
        <v>212</v>
      </c>
      <c r="R51" s="151" t="s">
        <v>410</v>
      </c>
      <c r="S51" s="211">
        <f>ROUNDDOWN('7990NTP-NP'!O26-('7990NTP-NP'!O26*0.235),2)</f>
        <v>0</v>
      </c>
      <c r="T51" s="224">
        <f>'7990NTP-NP'!G26</f>
        <v>0</v>
      </c>
      <c r="U51" s="148" t="s">
        <v>212</v>
      </c>
      <c r="V51" s="151" t="s">
        <v>410</v>
      </c>
      <c r="W51" s="211">
        <f>ROUNDDOWN('7990NTP-NP'!P26-('7990NTP-NP'!P26*0.235),2)</f>
        <v>0</v>
      </c>
      <c r="X51" s="224">
        <f>'7990NTP-NP'!H26</f>
        <v>0</v>
      </c>
      <c r="Y51" s="148" t="s">
        <v>212</v>
      </c>
      <c r="Z51" s="151" t="s">
        <v>410</v>
      </c>
      <c r="AA51" s="211">
        <f>ROUNDDOWN('7990NTP-NP'!Q26-('7990NTP-NP'!Q26*0.235),2)</f>
        <v>0</v>
      </c>
      <c r="AB51" s="224">
        <f>'7990NTP-NP'!I26</f>
        <v>0</v>
      </c>
      <c r="AC51" s="216">
        <f>IF(C51+G51+K51+O51+S51+W51+AA51&gt;0,C51+G51+K51+O51+S51+W51+AA51,0)</f>
        <v>0</v>
      </c>
      <c r="AD51" s="167"/>
    </row>
    <row r="52" spans="1:30" ht="63" x14ac:dyDescent="0.3">
      <c r="A52" s="128" t="s">
        <v>213</v>
      </c>
      <c r="B52" s="123" t="s">
        <v>439</v>
      </c>
      <c r="C52" s="228">
        <f>ROUNDUP('7990NTP-NP'!K26*0.235,2)</f>
        <v>0</v>
      </c>
      <c r="D52" s="229"/>
      <c r="E52" s="148" t="s">
        <v>213</v>
      </c>
      <c r="F52" s="151" t="s">
        <v>439</v>
      </c>
      <c r="G52" s="211">
        <f>ROUNDUP('7990NTP-NP'!L26*0.235,2)</f>
        <v>0</v>
      </c>
      <c r="H52" s="229"/>
      <c r="I52" s="139" t="s">
        <v>213</v>
      </c>
      <c r="J52" s="123" t="s">
        <v>439</v>
      </c>
      <c r="K52" s="211">
        <f>ROUNDUP('7990NTP-NP'!M26*0.235,2)</f>
        <v>0</v>
      </c>
      <c r="L52" s="221"/>
      <c r="M52" s="453" t="s">
        <v>213</v>
      </c>
      <c r="N52" s="440" t="s">
        <v>439</v>
      </c>
      <c r="O52" s="211">
        <f>ROUNDUP('7990NTP-NP'!N26*0.235,2)</f>
        <v>0</v>
      </c>
      <c r="P52" s="229"/>
      <c r="Q52" s="148" t="s">
        <v>213</v>
      </c>
      <c r="R52" s="151" t="s">
        <v>439</v>
      </c>
      <c r="S52" s="211">
        <f>ROUNDUP('7990NTP-NP'!O26*0.235,2)</f>
        <v>0</v>
      </c>
      <c r="T52" s="229"/>
      <c r="U52" s="148" t="s">
        <v>213</v>
      </c>
      <c r="V52" s="151" t="s">
        <v>439</v>
      </c>
      <c r="W52" s="211">
        <f>ROUNDUP('7990NTP-NP'!P26*0.235,2)</f>
        <v>0</v>
      </c>
      <c r="X52" s="229"/>
      <c r="Y52" s="148" t="s">
        <v>213</v>
      </c>
      <c r="Z52" s="151" t="s">
        <v>439</v>
      </c>
      <c r="AA52" s="211">
        <f>ROUNDUP('7990NTP-NP'!Q26*0.235,2)</f>
        <v>0</v>
      </c>
      <c r="AB52" s="229"/>
      <c r="AC52" s="216">
        <f>IF(C52+G52+K52+O52+S52+W52+AA52&gt;0,C52+G52+K52+O52+S52+W52+AA52,0)</f>
        <v>0</v>
      </c>
      <c r="AD52" s="167"/>
    </row>
    <row r="53" spans="1:30" ht="14" x14ac:dyDescent="0.3">
      <c r="A53" s="209"/>
      <c r="B53" s="210"/>
      <c r="C53" s="230"/>
      <c r="D53" s="229"/>
      <c r="E53" s="209"/>
      <c r="F53" s="210"/>
      <c r="G53" s="217"/>
      <c r="H53" s="229"/>
      <c r="I53" s="226"/>
      <c r="J53" s="210"/>
      <c r="K53" s="217"/>
      <c r="L53" s="221"/>
      <c r="M53" s="449"/>
      <c r="N53" s="443"/>
      <c r="O53" s="217"/>
      <c r="P53" s="229"/>
      <c r="Q53" s="209"/>
      <c r="R53" s="210"/>
      <c r="S53" s="217"/>
      <c r="T53" s="229"/>
      <c r="U53" s="209"/>
      <c r="V53" s="210"/>
      <c r="W53" s="217"/>
      <c r="X53" s="229"/>
      <c r="Y53" s="209"/>
      <c r="Z53" s="210"/>
      <c r="AA53" s="217"/>
      <c r="AB53" s="229"/>
      <c r="AC53" s="216"/>
      <c r="AD53" s="167"/>
    </row>
    <row r="54" spans="1:30" ht="63" x14ac:dyDescent="0.3">
      <c r="A54" s="127" t="s">
        <v>442</v>
      </c>
      <c r="B54" s="123" t="s">
        <v>440</v>
      </c>
      <c r="C54" s="228">
        <f>ROUNDDOWN('7990NTP-NP'!K27-('7990NTP-NP'!K27*0.3066),2)</f>
        <v>0</v>
      </c>
      <c r="D54" s="224">
        <f>'7990NTP-NP'!C27</f>
        <v>0</v>
      </c>
      <c r="E54" s="147" t="s">
        <v>442</v>
      </c>
      <c r="F54" s="151" t="s">
        <v>440</v>
      </c>
      <c r="G54" s="211">
        <f>ROUNDDOWN('7990NTP-NP'!L27-('7990NTP-NP'!L27*0.3066),2)</f>
        <v>0</v>
      </c>
      <c r="H54" s="224">
        <f>'7990NTP-NP'!D27</f>
        <v>0</v>
      </c>
      <c r="I54" s="138" t="s">
        <v>442</v>
      </c>
      <c r="J54" s="123" t="s">
        <v>440</v>
      </c>
      <c r="K54" s="211">
        <f>ROUNDDOWN('7990NTP-NP'!M27-('7990NTP-NP'!M27*0.3066),2)</f>
        <v>0</v>
      </c>
      <c r="L54" s="233">
        <f>'7990NTP-NP'!E27</f>
        <v>0</v>
      </c>
      <c r="M54" s="452" t="s">
        <v>442</v>
      </c>
      <c r="N54" s="440" t="s">
        <v>440</v>
      </c>
      <c r="O54" s="211">
        <f>ROUNDDOWN('7990NTP-NP'!N27-('7990NTP-NP'!N27*0.3066),2)</f>
        <v>0</v>
      </c>
      <c r="P54" s="224">
        <f>'7990NTP-NP'!F27</f>
        <v>0</v>
      </c>
      <c r="Q54" s="147" t="s">
        <v>442</v>
      </c>
      <c r="R54" s="151" t="s">
        <v>440</v>
      </c>
      <c r="S54" s="211">
        <f>ROUNDDOWN('7990NTP-NP'!O27-('7990NTP-NP'!O27*0.3066),2)</f>
        <v>0</v>
      </c>
      <c r="T54" s="224">
        <f>'7990NTP-NP'!G27</f>
        <v>0</v>
      </c>
      <c r="U54" s="147" t="s">
        <v>442</v>
      </c>
      <c r="V54" s="151" t="s">
        <v>440</v>
      </c>
      <c r="W54" s="211">
        <f>ROUNDDOWN('7990NTP-NP'!P27-('7990NTP-NP'!P27*0.3066),2)</f>
        <v>0</v>
      </c>
      <c r="X54" s="224">
        <f>'7990NTP-NP'!H27</f>
        <v>0</v>
      </c>
      <c r="Y54" s="147" t="s">
        <v>442</v>
      </c>
      <c r="Z54" s="151" t="s">
        <v>440</v>
      </c>
      <c r="AA54" s="211">
        <f>ROUNDDOWN('7990NTP-NP'!Q27-('7990NTP-NP'!Q27*0.3066),2)</f>
        <v>0</v>
      </c>
      <c r="AB54" s="224">
        <f>'7990NTP-NP'!I27</f>
        <v>0</v>
      </c>
      <c r="AC54" s="216">
        <f>IF(C54+G54+K54+O54+S54+W54+AA54&gt;0,C54+G54+K54+O54+S54+W54+AA54,0)</f>
        <v>0</v>
      </c>
      <c r="AD54" s="167"/>
    </row>
    <row r="55" spans="1:30" ht="63" x14ac:dyDescent="0.3">
      <c r="A55" s="127" t="s">
        <v>443</v>
      </c>
      <c r="B55" s="123" t="s">
        <v>441</v>
      </c>
      <c r="C55" s="228">
        <f>ROUNDUP('7990NTP-NP'!K27*0.3066,2)</f>
        <v>0</v>
      </c>
      <c r="D55" s="234"/>
      <c r="E55" s="147" t="s">
        <v>443</v>
      </c>
      <c r="F55" s="151" t="s">
        <v>441</v>
      </c>
      <c r="G55" s="211">
        <f>ROUNDUP('7990NTP-NP'!L27*0.3066,2)</f>
        <v>0</v>
      </c>
      <c r="H55" s="234"/>
      <c r="I55" s="138" t="s">
        <v>443</v>
      </c>
      <c r="J55" s="123" t="s">
        <v>441</v>
      </c>
      <c r="K55" s="211">
        <f>ROUNDUP('7990NTP-NP'!M27*0.3066,2)</f>
        <v>0</v>
      </c>
      <c r="L55" s="214"/>
      <c r="M55" s="452" t="s">
        <v>443</v>
      </c>
      <c r="N55" s="440" t="s">
        <v>441</v>
      </c>
      <c r="O55" s="211">
        <f>ROUNDUP('7990NTP-NP'!N27*0.3066,2)</f>
        <v>0</v>
      </c>
      <c r="P55" s="234"/>
      <c r="Q55" s="147" t="s">
        <v>443</v>
      </c>
      <c r="R55" s="151" t="s">
        <v>441</v>
      </c>
      <c r="S55" s="211">
        <f>ROUNDUP('7990NTP-NP'!O27*0.3066,2)</f>
        <v>0</v>
      </c>
      <c r="T55" s="234"/>
      <c r="U55" s="147" t="s">
        <v>443</v>
      </c>
      <c r="V55" s="151" t="s">
        <v>441</v>
      </c>
      <c r="W55" s="211">
        <f>ROUNDUP('7990NTP-NP'!P27*0.3066,2)</f>
        <v>0</v>
      </c>
      <c r="X55" s="234"/>
      <c r="Y55" s="147" t="s">
        <v>443</v>
      </c>
      <c r="Z55" s="151" t="s">
        <v>441</v>
      </c>
      <c r="AA55" s="211">
        <f>ROUNDUP('7990NTP-NP'!Q27*0.3066,2)</f>
        <v>0</v>
      </c>
      <c r="AB55" s="234"/>
      <c r="AC55" s="216">
        <f>IF(C55+G55+K55+O55+S55+W55+AA55&gt;0,C55+G55+K55+O55+S55+W55+AA55,0)</f>
        <v>0</v>
      </c>
      <c r="AD55" s="167"/>
    </row>
    <row r="56" spans="1:30" ht="14" x14ac:dyDescent="0.3">
      <c r="A56" s="209"/>
      <c r="B56" s="210"/>
      <c r="C56" s="230"/>
      <c r="D56" s="229"/>
      <c r="E56" s="209"/>
      <c r="F56" s="210"/>
      <c r="G56" s="217"/>
      <c r="H56" s="229"/>
      <c r="I56" s="226"/>
      <c r="J56" s="210"/>
      <c r="K56" s="217"/>
      <c r="L56" s="221"/>
      <c r="M56" s="449"/>
      <c r="N56" s="443"/>
      <c r="O56" s="217"/>
      <c r="P56" s="229"/>
      <c r="Q56" s="209"/>
      <c r="R56" s="210"/>
      <c r="S56" s="217"/>
      <c r="T56" s="229"/>
      <c r="U56" s="209"/>
      <c r="V56" s="210"/>
      <c r="W56" s="217"/>
      <c r="X56" s="229"/>
      <c r="Y56" s="209"/>
      <c r="Z56" s="210"/>
      <c r="AA56" s="217"/>
      <c r="AB56" s="229"/>
      <c r="AC56" s="216"/>
      <c r="AD56" s="167"/>
    </row>
    <row r="57" spans="1:30" ht="75.5" x14ac:dyDescent="0.3">
      <c r="A57" s="127" t="s">
        <v>214</v>
      </c>
      <c r="B57" s="123" t="s">
        <v>215</v>
      </c>
      <c r="C57" s="228">
        <f>ROUNDDOWN('7990NTP-NP'!K28-('7990NTP-NP'!K28*0.1916),2)</f>
        <v>0</v>
      </c>
      <c r="D57" s="224">
        <f>'7990NTP-NP'!C28</f>
        <v>0</v>
      </c>
      <c r="E57" s="147" t="s">
        <v>214</v>
      </c>
      <c r="F57" s="151" t="s">
        <v>475</v>
      </c>
      <c r="G57" s="211">
        <f>ROUNDDOWN('7990NTP-NP'!L28-('7990NTP-NP'!L28*0.1916),2)</f>
        <v>0</v>
      </c>
      <c r="H57" s="224">
        <f>'7990NTP-NP'!D28</f>
        <v>0</v>
      </c>
      <c r="I57" s="138" t="s">
        <v>214</v>
      </c>
      <c r="J57" s="123" t="s">
        <v>526</v>
      </c>
      <c r="K57" s="211">
        <f>ROUNDDOWN('7990NTP-NP'!M28-('7990NTP-NP'!M28*0.1916),2)</f>
        <v>0</v>
      </c>
      <c r="L57" s="233">
        <f>'7990NTP-NP'!E28</f>
        <v>0</v>
      </c>
      <c r="M57" s="452" t="s">
        <v>214</v>
      </c>
      <c r="N57" s="440" t="s">
        <v>575</v>
      </c>
      <c r="O57" s="211">
        <f>ROUNDDOWN('7990NTP-NP'!N28-('7990NTP-NP'!N28*0.1916),2)</f>
        <v>0</v>
      </c>
      <c r="P57" s="224">
        <f>'7990NTP-NP'!F28</f>
        <v>0</v>
      </c>
      <c r="Q57" s="147" t="s">
        <v>214</v>
      </c>
      <c r="R57" s="151" t="s">
        <v>593</v>
      </c>
      <c r="S57" s="211">
        <f>ROUNDDOWN('7990NTP-NP'!O28-('7990NTP-NP'!O28*0.1916),2)</f>
        <v>0</v>
      </c>
      <c r="T57" s="224">
        <f>'7990NTP-NP'!G28</f>
        <v>0</v>
      </c>
      <c r="U57" s="147" t="s">
        <v>214</v>
      </c>
      <c r="V57" s="151" t="s">
        <v>611</v>
      </c>
      <c r="W57" s="211">
        <f>ROUNDDOWN('7990NTP-NP'!P28-('7990NTP-NP'!P28*0.1916),2)</f>
        <v>0</v>
      </c>
      <c r="X57" s="224">
        <f>'7990NTP-NP'!H28</f>
        <v>0</v>
      </c>
      <c r="Y57" s="147" t="s">
        <v>214</v>
      </c>
      <c r="Z57" s="151" t="s">
        <v>629</v>
      </c>
      <c r="AA57" s="211">
        <f>ROUNDDOWN('7990NTP-NP'!Q28-('7990NTP-NP'!Q28*0.1916),2)</f>
        <v>0</v>
      </c>
      <c r="AB57" s="224">
        <f>'7990NTP-NP'!I28</f>
        <v>0</v>
      </c>
      <c r="AC57" s="216">
        <f>IF(C57+G57+K57+O57+S57+W57+AA57&gt;0,C57+G57+K57+O57+S57+W57+AA57,0)</f>
        <v>0</v>
      </c>
      <c r="AD57" s="167"/>
    </row>
    <row r="58" spans="1:30" ht="75.5" x14ac:dyDescent="0.3">
      <c r="A58" s="127" t="s">
        <v>216</v>
      </c>
      <c r="B58" s="123" t="s">
        <v>217</v>
      </c>
      <c r="C58" s="228">
        <f>ROUNDUP('7990NTP-NP'!K28*0.1916,2)</f>
        <v>0</v>
      </c>
      <c r="D58" s="234"/>
      <c r="E58" s="147" t="s">
        <v>216</v>
      </c>
      <c r="F58" s="151" t="s">
        <v>476</v>
      </c>
      <c r="G58" s="211">
        <f>ROUNDUP('7990NTP-NP'!L28*0.1916,2)</f>
        <v>0</v>
      </c>
      <c r="H58" s="234"/>
      <c r="I58" s="138" t="s">
        <v>216</v>
      </c>
      <c r="J58" s="123" t="s">
        <v>527</v>
      </c>
      <c r="K58" s="211">
        <f>ROUNDUP('7990NTP-NP'!M28*0.1916,2)</f>
        <v>0</v>
      </c>
      <c r="L58" s="214"/>
      <c r="M58" s="452" t="s">
        <v>216</v>
      </c>
      <c r="N58" s="440" t="s">
        <v>576</v>
      </c>
      <c r="O58" s="211">
        <f>ROUNDUP('7990NTP-NP'!N28*0.1916,2)</f>
        <v>0</v>
      </c>
      <c r="P58" s="234"/>
      <c r="Q58" s="147" t="s">
        <v>216</v>
      </c>
      <c r="R58" s="151" t="s">
        <v>594</v>
      </c>
      <c r="S58" s="211">
        <f>ROUNDUP('7990NTP-NP'!O28*0.1916,2)</f>
        <v>0</v>
      </c>
      <c r="T58" s="234"/>
      <c r="U58" s="147" t="s">
        <v>216</v>
      </c>
      <c r="V58" s="151" t="s">
        <v>612</v>
      </c>
      <c r="W58" s="211">
        <f>ROUNDUP('7990NTP-NP'!P28*0.1916,2)</f>
        <v>0</v>
      </c>
      <c r="X58" s="234"/>
      <c r="Y58" s="147" t="s">
        <v>216</v>
      </c>
      <c r="Z58" s="151" t="s">
        <v>630</v>
      </c>
      <c r="AA58" s="211">
        <f>ROUNDUP('7990NTP-NP'!Q28*0.1916,2)</f>
        <v>0</v>
      </c>
      <c r="AB58" s="234"/>
      <c r="AC58" s="216">
        <f>IF(C58+G58+K58+O58+S58+W58+AA58&gt;0,C58+G58+K58+O58+S58+W58+AA58,0)</f>
        <v>0</v>
      </c>
      <c r="AD58" s="167"/>
    </row>
    <row r="59" spans="1:30" ht="14" x14ac:dyDescent="0.3">
      <c r="A59" s="209"/>
      <c r="B59" s="210"/>
      <c r="C59" s="230"/>
      <c r="D59" s="229"/>
      <c r="E59" s="209"/>
      <c r="F59" s="210"/>
      <c r="G59" s="217"/>
      <c r="H59" s="229"/>
      <c r="I59" s="226"/>
      <c r="J59" s="210"/>
      <c r="K59" s="217"/>
      <c r="L59" s="221"/>
      <c r="M59" s="449"/>
      <c r="N59" s="443"/>
      <c r="O59" s="217"/>
      <c r="P59" s="229"/>
      <c r="Q59" s="209"/>
      <c r="R59" s="210"/>
      <c r="S59" s="217"/>
      <c r="T59" s="229"/>
      <c r="U59" s="209"/>
      <c r="V59" s="210"/>
      <c r="W59" s="217"/>
      <c r="X59" s="229"/>
      <c r="Y59" s="209"/>
      <c r="Z59" s="210"/>
      <c r="AA59" s="217"/>
      <c r="AB59" s="229"/>
      <c r="AC59" s="216"/>
      <c r="AD59" s="167"/>
    </row>
    <row r="60" spans="1:30" ht="50.5" x14ac:dyDescent="0.3">
      <c r="A60" s="126" t="s">
        <v>107</v>
      </c>
      <c r="B60" s="123" t="s">
        <v>108</v>
      </c>
      <c r="C60" s="228">
        <f>SUM('7990NTP-NP'!K29*1)</f>
        <v>0</v>
      </c>
      <c r="D60" s="224">
        <f>'7990NTP-NP'!C29</f>
        <v>0</v>
      </c>
      <c r="E60" s="146" t="s">
        <v>107</v>
      </c>
      <c r="F60" s="151" t="s">
        <v>477</v>
      </c>
      <c r="G60" s="211">
        <f>SUM('7990NTP-NP'!L29*1)</f>
        <v>0</v>
      </c>
      <c r="H60" s="224">
        <f>'7990NTP-NP'!D29</f>
        <v>0</v>
      </c>
      <c r="I60" s="137" t="s">
        <v>107</v>
      </c>
      <c r="J60" s="123" t="s">
        <v>528</v>
      </c>
      <c r="K60" s="211">
        <f>SUM('7990NTP-NP'!M29*1)</f>
        <v>0</v>
      </c>
      <c r="L60" s="233">
        <f>'7990NTP-NP'!E29</f>
        <v>0</v>
      </c>
      <c r="M60" s="451" t="s">
        <v>330</v>
      </c>
      <c r="N60" s="444" t="s">
        <v>331</v>
      </c>
      <c r="O60" s="211">
        <f>SUM('7990NTP-NP'!N29*1)</f>
        <v>0</v>
      </c>
      <c r="P60" s="224">
        <f>'7990NTP-NP'!F29</f>
        <v>0</v>
      </c>
      <c r="Q60" s="451" t="s">
        <v>330</v>
      </c>
      <c r="R60" s="444" t="s">
        <v>331</v>
      </c>
      <c r="S60" s="211">
        <f>SUM('7990NTP-NP'!O29*1)</f>
        <v>0</v>
      </c>
      <c r="T60" s="224">
        <f>'7990NTP-NP'!G29</f>
        <v>0</v>
      </c>
      <c r="U60" s="451" t="s">
        <v>330</v>
      </c>
      <c r="V60" s="444" t="s">
        <v>331</v>
      </c>
      <c r="W60" s="211">
        <f>SUM('7990NTP-NP'!P29*1)</f>
        <v>0</v>
      </c>
      <c r="X60" s="224">
        <f>'7990NTP-NP'!H29</f>
        <v>0</v>
      </c>
      <c r="Y60" s="451" t="s">
        <v>330</v>
      </c>
      <c r="Z60" s="444" t="s">
        <v>331</v>
      </c>
      <c r="AA60" s="211">
        <f>SUM('7990NTP-NP'!Q29*1)</f>
        <v>0</v>
      </c>
      <c r="AB60" s="224">
        <f>'7990NTP-NP'!I29</f>
        <v>0</v>
      </c>
      <c r="AC60" s="216">
        <f>IF(C60+G60+K60+O60+S60+W60+AA60&gt;0,C60+G60+K60+O60+S60+W60+AA60,0)</f>
        <v>0</v>
      </c>
      <c r="AD60" s="167"/>
    </row>
    <row r="61" spans="1:30" ht="14" x14ac:dyDescent="0.3">
      <c r="A61" s="209"/>
      <c r="B61" s="210"/>
      <c r="C61" s="230"/>
      <c r="D61" s="229"/>
      <c r="E61" s="209"/>
      <c r="F61" s="210"/>
      <c r="G61" s="217"/>
      <c r="H61" s="229"/>
      <c r="I61" s="226"/>
      <c r="J61" s="210"/>
      <c r="K61" s="217"/>
      <c r="L61" s="232"/>
      <c r="M61" s="449"/>
      <c r="N61" s="443"/>
      <c r="O61" s="217"/>
      <c r="P61" s="229"/>
      <c r="Q61" s="209"/>
      <c r="R61" s="210"/>
      <c r="S61" s="217"/>
      <c r="T61" s="229"/>
      <c r="U61" s="209"/>
      <c r="V61" s="210"/>
      <c r="W61" s="217"/>
      <c r="X61" s="229"/>
      <c r="Y61" s="209"/>
      <c r="Z61" s="210"/>
      <c r="AA61" s="217"/>
      <c r="AB61" s="229"/>
      <c r="AC61" s="216"/>
      <c r="AD61" s="167"/>
    </row>
    <row r="62" spans="1:30" ht="50.5" x14ac:dyDescent="0.3">
      <c r="A62" s="130" t="s">
        <v>249</v>
      </c>
      <c r="B62" s="123" t="s">
        <v>354</v>
      </c>
      <c r="C62" s="228">
        <f>ROUNDDOWN('7990NTP-NP'!K30-('7990NTP-NP'!K30*0.1),2)</f>
        <v>0</v>
      </c>
      <c r="D62" s="224">
        <f>'7990NTP-NP'!C30</f>
        <v>0</v>
      </c>
      <c r="E62" s="150" t="s">
        <v>249</v>
      </c>
      <c r="F62" s="151" t="s">
        <v>354</v>
      </c>
      <c r="G62" s="211">
        <f>ROUNDDOWN('7990NTP-NP'!L30-('7990NTP-NP'!L30*0.1),2)</f>
        <v>0</v>
      </c>
      <c r="H62" s="224">
        <f>'7990NTP-NP'!D30</f>
        <v>0</v>
      </c>
      <c r="I62" s="141" t="s">
        <v>249</v>
      </c>
      <c r="J62" s="123" t="s">
        <v>354</v>
      </c>
      <c r="K62" s="211">
        <f>ROUNDDOWN('7990NTP-NP'!M30-('7990NTP-NP'!M30*0.1),2)</f>
        <v>0</v>
      </c>
      <c r="L62" s="233">
        <f>'7990NTP-NP'!E30</f>
        <v>0</v>
      </c>
      <c r="M62" s="454" t="s">
        <v>352</v>
      </c>
      <c r="N62" s="440" t="s">
        <v>354</v>
      </c>
      <c r="O62" s="211">
        <f>ROUNDDOWN('7990NTP-NP'!N30-('7990NTP-NP'!N30*0.1),2)</f>
        <v>0</v>
      </c>
      <c r="P62" s="224">
        <f>'7990NTP-NP'!F30</f>
        <v>0</v>
      </c>
      <c r="Q62" s="454" t="s">
        <v>352</v>
      </c>
      <c r="R62" s="440" t="s">
        <v>354</v>
      </c>
      <c r="S62" s="211">
        <f>ROUNDDOWN('7990NTP-NP'!O30-('7990NTP-NP'!O30*0.1),2)</f>
        <v>0</v>
      </c>
      <c r="T62" s="224">
        <f>'7990NTP-NP'!G30</f>
        <v>0</v>
      </c>
      <c r="U62" s="454" t="s">
        <v>352</v>
      </c>
      <c r="V62" s="440" t="s">
        <v>354</v>
      </c>
      <c r="W62" s="211">
        <f>ROUNDDOWN('7990NTP-NP'!P30-('7990NTP-NP'!P30*0.1),2)</f>
        <v>0</v>
      </c>
      <c r="X62" s="224">
        <f>'7990NTP-NP'!H30</f>
        <v>0</v>
      </c>
      <c r="Y62" s="454" t="s">
        <v>352</v>
      </c>
      <c r="Z62" s="440" t="s">
        <v>354</v>
      </c>
      <c r="AA62" s="211">
        <f>ROUNDDOWN('7990NTP-NP'!Q30-('7990NTP-NP'!Q30*0.1),2)</f>
        <v>0</v>
      </c>
      <c r="AB62" s="224">
        <f>'7990NTP-NP'!I30</f>
        <v>0</v>
      </c>
      <c r="AC62" s="216">
        <f>IF(C62+G62+K62+O62+S62+W62+AA62&gt;0,C62+G62+K62+O62+S62+W62+AA62,0)</f>
        <v>0</v>
      </c>
      <c r="AD62" s="167"/>
    </row>
    <row r="63" spans="1:30" ht="50.5" x14ac:dyDescent="0.3">
      <c r="A63" s="130" t="s">
        <v>251</v>
      </c>
      <c r="B63" s="123" t="s">
        <v>444</v>
      </c>
      <c r="C63" s="228">
        <f>ROUNDUP('7990NTP-NP'!K30*0.1,2)</f>
        <v>0</v>
      </c>
      <c r="D63" s="234"/>
      <c r="E63" s="150" t="s">
        <v>251</v>
      </c>
      <c r="F63" s="151" t="s">
        <v>444</v>
      </c>
      <c r="G63" s="211">
        <f>ROUNDUP('7990NTP-NP'!L30*0.1,2)</f>
        <v>0</v>
      </c>
      <c r="H63" s="234"/>
      <c r="I63" s="141" t="s">
        <v>251</v>
      </c>
      <c r="J63" s="123" t="s">
        <v>444</v>
      </c>
      <c r="K63" s="211">
        <f>ROUNDUP('7990NTP-NP'!M30*0.1,2)</f>
        <v>0</v>
      </c>
      <c r="L63" s="214"/>
      <c r="M63" s="454" t="s">
        <v>353</v>
      </c>
      <c r="N63" s="440" t="s">
        <v>393</v>
      </c>
      <c r="O63" s="211">
        <f>ROUNDUP('7990NTP-NP'!N30*0.1,2)</f>
        <v>0</v>
      </c>
      <c r="P63" s="234"/>
      <c r="Q63" s="454" t="s">
        <v>353</v>
      </c>
      <c r="R63" s="440" t="s">
        <v>393</v>
      </c>
      <c r="S63" s="211">
        <f>ROUNDUP('7990NTP-NP'!O30*0.1,2)</f>
        <v>0</v>
      </c>
      <c r="T63" s="234"/>
      <c r="U63" s="454" t="s">
        <v>353</v>
      </c>
      <c r="V63" s="440" t="s">
        <v>393</v>
      </c>
      <c r="W63" s="211">
        <f>ROUNDUP('7990NTP-NP'!P30*0.1,2)</f>
        <v>0</v>
      </c>
      <c r="X63" s="234"/>
      <c r="Y63" s="454" t="s">
        <v>353</v>
      </c>
      <c r="Z63" s="440" t="s">
        <v>393</v>
      </c>
      <c r="AA63" s="211">
        <f>ROUNDUP('7990NTP-NP'!Q30*0.1,2)</f>
        <v>0</v>
      </c>
      <c r="AB63" s="234"/>
      <c r="AC63" s="216">
        <f>IF(C63+G63+K63+O63+S63+W63+AA63&gt;0,C63+G63+K63+O63+S63+W63+AA63,0)</f>
        <v>0</v>
      </c>
      <c r="AD63" s="167"/>
    </row>
    <row r="64" spans="1:30" ht="14" x14ac:dyDescent="0.3">
      <c r="A64" s="209"/>
      <c r="B64" s="235"/>
      <c r="C64" s="230"/>
      <c r="D64" s="229"/>
      <c r="E64" s="209"/>
      <c r="F64" s="235"/>
      <c r="G64" s="217"/>
      <c r="H64" s="229"/>
      <c r="I64" s="226"/>
      <c r="J64" s="235"/>
      <c r="K64" s="217"/>
      <c r="L64" s="221"/>
      <c r="M64" s="449"/>
      <c r="N64" s="445"/>
      <c r="O64" s="217"/>
      <c r="P64" s="229"/>
      <c r="Q64" s="209"/>
      <c r="R64" s="235"/>
      <c r="S64" s="217"/>
      <c r="T64" s="229"/>
      <c r="U64" s="209"/>
      <c r="V64" s="235"/>
      <c r="W64" s="217"/>
      <c r="X64" s="229"/>
      <c r="Y64" s="209"/>
      <c r="Z64" s="235"/>
      <c r="AA64" s="217"/>
      <c r="AB64" s="229"/>
      <c r="AC64" s="216"/>
      <c r="AD64" s="167"/>
    </row>
    <row r="65" spans="1:30" ht="66.5" customHeight="1" x14ac:dyDescent="0.3">
      <c r="A65" s="130" t="s">
        <v>241</v>
      </c>
      <c r="B65" s="123" t="s">
        <v>242</v>
      </c>
      <c r="C65" s="228">
        <f>ROUNDDOWN('7990NTP-NP'!K31-('7990NTP-NP'!K31*0.438),2)</f>
        <v>0</v>
      </c>
      <c r="D65" s="224">
        <f>'7990NTP-NP'!C31</f>
        <v>0</v>
      </c>
      <c r="E65" s="150" t="s">
        <v>241</v>
      </c>
      <c r="F65" s="151" t="s">
        <v>478</v>
      </c>
      <c r="G65" s="211">
        <f>ROUNDDOWN('7990NTP-NP'!L31-('7990NTP-NP'!L31*0.438),2)</f>
        <v>0</v>
      </c>
      <c r="H65" s="224">
        <f>'7990NTP-NP'!D31</f>
        <v>0</v>
      </c>
      <c r="I65" s="141" t="s">
        <v>241</v>
      </c>
      <c r="J65" s="123" t="s">
        <v>529</v>
      </c>
      <c r="K65" s="211">
        <f>ROUNDDOWN('7990NTP-NP'!M31-('7990NTP-NP'!M31*0.438),2)</f>
        <v>0</v>
      </c>
      <c r="L65" s="233">
        <f>'7990NTP-NP'!E31</f>
        <v>0</v>
      </c>
      <c r="M65" s="454" t="s">
        <v>342</v>
      </c>
      <c r="N65" s="440" t="s">
        <v>242</v>
      </c>
      <c r="O65" s="211">
        <f>ROUNDDOWN('7990NTP-NP'!N31-('7990NTP-NP'!N31*0.438),2)</f>
        <v>0</v>
      </c>
      <c r="P65" s="224">
        <f>'7990NTP-NP'!F31</f>
        <v>0</v>
      </c>
      <c r="Q65" s="454" t="s">
        <v>342</v>
      </c>
      <c r="R65" s="440" t="s">
        <v>242</v>
      </c>
      <c r="S65" s="211">
        <f>ROUNDDOWN('7990NTP-NP'!O31-('7990NTP-NP'!O31*0.438),2)</f>
        <v>0</v>
      </c>
      <c r="T65" s="224">
        <f>'7990NTP-NP'!G31</f>
        <v>0</v>
      </c>
      <c r="U65" s="454" t="s">
        <v>342</v>
      </c>
      <c r="V65" s="440" t="s">
        <v>242</v>
      </c>
      <c r="W65" s="211">
        <f>ROUNDDOWN('7990NTP-NP'!P31-('7990NTP-NP'!P31*0.438),2)</f>
        <v>0</v>
      </c>
      <c r="X65" s="224">
        <f>'7990NTP-NP'!H31</f>
        <v>0</v>
      </c>
      <c r="Y65" s="454" t="s">
        <v>342</v>
      </c>
      <c r="Z65" s="440" t="s">
        <v>242</v>
      </c>
      <c r="AA65" s="211">
        <f>ROUNDDOWN('7990NTP-NP'!Q31-('7990NTP-NP'!Q31*0.438),2)</f>
        <v>0</v>
      </c>
      <c r="AB65" s="224">
        <f>'7990NTP-NP'!I31</f>
        <v>0</v>
      </c>
      <c r="AC65" s="216">
        <f>IF(C65+G65+K65+O65+S65+W65+AA65&gt;0,C65+G65+K65+O65+S65+W65+AA65,0)</f>
        <v>0</v>
      </c>
      <c r="AD65" s="167"/>
    </row>
    <row r="66" spans="1:30" ht="63" x14ac:dyDescent="0.3">
      <c r="A66" s="130" t="s">
        <v>243</v>
      </c>
      <c r="B66" s="123" t="s">
        <v>244</v>
      </c>
      <c r="C66" s="228">
        <f>ROUNDUP('7990NTP-NP'!K31*0.438,2)</f>
        <v>0</v>
      </c>
      <c r="D66" s="229"/>
      <c r="E66" s="150" t="s">
        <v>243</v>
      </c>
      <c r="F66" s="151" t="s">
        <v>479</v>
      </c>
      <c r="G66" s="211">
        <f>ROUNDUP('7990NTP-NP'!L31*0.438,2)</f>
        <v>0</v>
      </c>
      <c r="H66" s="229"/>
      <c r="I66" s="141" t="s">
        <v>243</v>
      </c>
      <c r="J66" s="123" t="s">
        <v>530</v>
      </c>
      <c r="K66" s="211">
        <f>ROUNDUP('7990NTP-NP'!M31*0.438,2)</f>
        <v>0</v>
      </c>
      <c r="L66" s="221"/>
      <c r="M66" s="454" t="s">
        <v>343</v>
      </c>
      <c r="N66" s="440" t="s">
        <v>344</v>
      </c>
      <c r="O66" s="211">
        <f>ROUNDUP('7990NTP-NP'!N31*0.438,2)</f>
        <v>0</v>
      </c>
      <c r="P66" s="229"/>
      <c r="Q66" s="454" t="s">
        <v>343</v>
      </c>
      <c r="R66" s="440" t="s">
        <v>344</v>
      </c>
      <c r="S66" s="211">
        <f>ROUNDUP('7990NTP-NP'!O31*0.438,2)</f>
        <v>0</v>
      </c>
      <c r="T66" s="229"/>
      <c r="U66" s="454" t="s">
        <v>343</v>
      </c>
      <c r="V66" s="440" t="s">
        <v>344</v>
      </c>
      <c r="W66" s="211">
        <f>ROUNDUP('7990NTP-NP'!P31*0.438,2)</f>
        <v>0</v>
      </c>
      <c r="X66" s="229"/>
      <c r="Y66" s="454" t="s">
        <v>343</v>
      </c>
      <c r="Z66" s="440" t="s">
        <v>344</v>
      </c>
      <c r="AA66" s="211">
        <f>ROUNDUP('7990NTP-NP'!Q31*0.438,2)</f>
        <v>0</v>
      </c>
      <c r="AB66" s="229"/>
      <c r="AC66" s="216">
        <f>IF(C66+G66+K66+O66+S66+W66+AA66&gt;0,C66+G66+K66+O66+S66+W66+AA66,0)</f>
        <v>0</v>
      </c>
      <c r="AD66" s="167"/>
    </row>
    <row r="67" spans="1:30" ht="14" x14ac:dyDescent="0.3">
      <c r="A67" s="209"/>
      <c r="B67" s="235"/>
      <c r="C67" s="230"/>
      <c r="D67" s="229"/>
      <c r="E67" s="209"/>
      <c r="F67" s="235"/>
      <c r="G67" s="217"/>
      <c r="H67" s="229"/>
      <c r="I67" s="226"/>
      <c r="J67" s="235"/>
      <c r="K67" s="217"/>
      <c r="L67" s="221"/>
      <c r="M67" s="449"/>
      <c r="N67" s="445"/>
      <c r="O67" s="217"/>
      <c r="P67" s="229"/>
      <c r="Q67" s="209"/>
      <c r="R67" s="235"/>
      <c r="S67" s="217"/>
      <c r="T67" s="229"/>
      <c r="U67" s="209"/>
      <c r="V67" s="235"/>
      <c r="W67" s="217"/>
      <c r="X67" s="229"/>
      <c r="Y67" s="209"/>
      <c r="Z67" s="235"/>
      <c r="AA67" s="217"/>
      <c r="AB67" s="229"/>
      <c r="AC67" s="216"/>
      <c r="AD67" s="167"/>
    </row>
    <row r="68" spans="1:30" ht="63" x14ac:dyDescent="0.3">
      <c r="A68" s="130" t="s">
        <v>245</v>
      </c>
      <c r="B68" s="123" t="s">
        <v>246</v>
      </c>
      <c r="C68" s="228">
        <f>ROUNDDOWN('7990NTP-NP'!K32-('7990NTP-NP'!K32*0.3066),2)</f>
        <v>0</v>
      </c>
      <c r="D68" s="224">
        <f>'7990NTP-NP'!C32</f>
        <v>0</v>
      </c>
      <c r="E68" s="150" t="s">
        <v>245</v>
      </c>
      <c r="F68" s="151" t="s">
        <v>480</v>
      </c>
      <c r="G68" s="228">
        <f>ROUNDDOWN('7990NTP-NP'!L32-('7990NTP-NP'!L32*0.3066),2)</f>
        <v>0</v>
      </c>
      <c r="H68" s="224">
        <f>'7990NTP-NP'!D32</f>
        <v>0</v>
      </c>
      <c r="I68" s="141" t="s">
        <v>245</v>
      </c>
      <c r="J68" s="123" t="s">
        <v>531</v>
      </c>
      <c r="K68" s="228">
        <f>ROUNDDOWN('7990NTP-NP'!M32-('7990NTP-NP'!M32*0.3066),2)</f>
        <v>0</v>
      </c>
      <c r="L68" s="233">
        <f>'7990NTP-NP'!E32</f>
        <v>0</v>
      </c>
      <c r="M68" s="454" t="s">
        <v>345</v>
      </c>
      <c r="N68" s="440" t="s">
        <v>246</v>
      </c>
      <c r="O68" s="228">
        <f>ROUNDDOWN('7990NTP-NP'!N32-('7990NTP-NP'!N32*0.3066),2)</f>
        <v>0</v>
      </c>
      <c r="P68" s="224">
        <f>'7990NTP-NP'!F32</f>
        <v>0</v>
      </c>
      <c r="Q68" s="454" t="s">
        <v>345</v>
      </c>
      <c r="R68" s="440" t="s">
        <v>246</v>
      </c>
      <c r="S68" s="228">
        <f>ROUNDDOWN('7990NTP-NP'!O32-('7990NTP-NP'!O32*0.3066),2)</f>
        <v>0</v>
      </c>
      <c r="T68" s="224">
        <f>'7990NTP-NP'!G32</f>
        <v>0</v>
      </c>
      <c r="U68" s="454" t="s">
        <v>345</v>
      </c>
      <c r="V68" s="440" t="s">
        <v>246</v>
      </c>
      <c r="W68" s="228">
        <f>ROUNDDOWN('7990NTP-NP'!P32-('7990NTP-NP'!P32*0.3066),2)</f>
        <v>0</v>
      </c>
      <c r="X68" s="224">
        <f>'7990NTP-NP'!H32</f>
        <v>0</v>
      </c>
      <c r="Y68" s="454" t="s">
        <v>345</v>
      </c>
      <c r="Z68" s="440" t="s">
        <v>246</v>
      </c>
      <c r="AA68" s="228">
        <f>ROUNDDOWN('7990NTP-NP'!Q32-('7990NTP-NP'!Q32*0.3066),2)</f>
        <v>0</v>
      </c>
      <c r="AB68" s="224">
        <f>'7990NTP-NP'!I32</f>
        <v>0</v>
      </c>
      <c r="AC68" s="216">
        <f>IF(C68+G68+K68+O68+S68+W68+AA68&gt;0,C68+G68+K68+O68+S68+W68+AA68,0)</f>
        <v>0</v>
      </c>
      <c r="AD68" s="167"/>
    </row>
    <row r="69" spans="1:30" ht="63" x14ac:dyDescent="0.3">
      <c r="A69" s="130" t="s">
        <v>247</v>
      </c>
      <c r="B69" s="123" t="s">
        <v>248</v>
      </c>
      <c r="C69" s="228">
        <f>ROUNDUP('7990NTP-NP'!K32*0.3066,2)</f>
        <v>0</v>
      </c>
      <c r="D69" s="234"/>
      <c r="E69" s="150" t="s">
        <v>247</v>
      </c>
      <c r="F69" s="151" t="s">
        <v>481</v>
      </c>
      <c r="G69" s="211">
        <f>ROUNDUP('7990NTP-NP'!L32*0.3066,2)</f>
        <v>0</v>
      </c>
      <c r="H69" s="234"/>
      <c r="I69" s="141" t="s">
        <v>247</v>
      </c>
      <c r="J69" s="123" t="s">
        <v>532</v>
      </c>
      <c r="K69" s="211">
        <f>ROUNDUP('7990NTP-NP'!M32*0.3066,2)</f>
        <v>0</v>
      </c>
      <c r="L69" s="214"/>
      <c r="M69" s="454" t="s">
        <v>346</v>
      </c>
      <c r="N69" s="440" t="s">
        <v>347</v>
      </c>
      <c r="O69" s="211">
        <f>ROUNDUP('7990NTP-NP'!N32*0.3066,2)</f>
        <v>0</v>
      </c>
      <c r="P69" s="234"/>
      <c r="Q69" s="454" t="s">
        <v>346</v>
      </c>
      <c r="R69" s="440" t="s">
        <v>347</v>
      </c>
      <c r="S69" s="211">
        <f>ROUNDUP('7990NTP-NP'!O32*0.3066,2)</f>
        <v>0</v>
      </c>
      <c r="T69" s="234"/>
      <c r="U69" s="454" t="s">
        <v>346</v>
      </c>
      <c r="V69" s="440" t="s">
        <v>347</v>
      </c>
      <c r="W69" s="211">
        <f>ROUNDUP('7990NTP-NP'!P32*0.3066,2)</f>
        <v>0</v>
      </c>
      <c r="X69" s="234"/>
      <c r="Y69" s="454" t="s">
        <v>346</v>
      </c>
      <c r="Z69" s="440" t="s">
        <v>347</v>
      </c>
      <c r="AA69" s="211">
        <f>ROUNDUP('7990NTP-NP'!Q32*0.3066,2)</f>
        <v>0</v>
      </c>
      <c r="AB69" s="234"/>
      <c r="AC69" s="216">
        <f>IF(C69+G69+K69+O69+S69+W69+AA69&gt;0,C69+G69+K69+O69+S69+W69+AA69,0)</f>
        <v>0</v>
      </c>
      <c r="AD69" s="167"/>
    </row>
    <row r="70" spans="1:30" ht="14" x14ac:dyDescent="0.3">
      <c r="A70" s="209"/>
      <c r="B70" s="210"/>
      <c r="C70" s="230"/>
      <c r="D70" s="229"/>
      <c r="E70" s="209"/>
      <c r="F70" s="210"/>
      <c r="G70" s="217"/>
      <c r="H70" s="229"/>
      <c r="I70" s="226"/>
      <c r="J70" s="210"/>
      <c r="K70" s="217"/>
      <c r="L70" s="221"/>
      <c r="M70" s="449"/>
      <c r="N70" s="443"/>
      <c r="O70" s="217"/>
      <c r="P70" s="229"/>
      <c r="Q70" s="209"/>
      <c r="R70" s="210"/>
      <c r="S70" s="217"/>
      <c r="T70" s="229"/>
      <c r="U70" s="209"/>
      <c r="V70" s="210"/>
      <c r="W70" s="217"/>
      <c r="X70" s="229"/>
      <c r="Y70" s="209"/>
      <c r="Z70" s="210"/>
      <c r="AA70" s="217"/>
      <c r="AB70" s="229"/>
      <c r="AC70" s="216"/>
      <c r="AD70" s="167"/>
    </row>
    <row r="71" spans="1:30" ht="50.5" x14ac:dyDescent="0.3">
      <c r="A71" s="130" t="s">
        <v>276</v>
      </c>
      <c r="B71" s="123" t="s">
        <v>445</v>
      </c>
      <c r="C71" s="228">
        <f>SUM('7990NTP-NP'!K33*1)</f>
        <v>0</v>
      </c>
      <c r="D71" s="224">
        <f>'7990NTP-NP'!C33</f>
        <v>0</v>
      </c>
      <c r="E71" s="150" t="s">
        <v>276</v>
      </c>
      <c r="F71" s="151" t="s">
        <v>445</v>
      </c>
      <c r="G71" s="211">
        <f>SUM('7990NTP-NP'!L33*1)</f>
        <v>0</v>
      </c>
      <c r="H71" s="224">
        <f>'7990NTP-NP'!D33</f>
        <v>0</v>
      </c>
      <c r="I71" s="141" t="s">
        <v>276</v>
      </c>
      <c r="J71" s="123" t="s">
        <v>445</v>
      </c>
      <c r="K71" s="211">
        <f>SUM('7990NTP-NP'!M33*1)</f>
        <v>0</v>
      </c>
      <c r="L71" s="233">
        <f>'7990NTP-NP'!E33</f>
        <v>0</v>
      </c>
      <c r="M71" s="454" t="s">
        <v>394</v>
      </c>
      <c r="N71" s="440" t="s">
        <v>395</v>
      </c>
      <c r="O71" s="211">
        <f>SUM('7990NTP-NP'!N33*1)</f>
        <v>0</v>
      </c>
      <c r="P71" s="224">
        <f>'7990NTP-NP'!F33</f>
        <v>0</v>
      </c>
      <c r="Q71" s="454" t="s">
        <v>394</v>
      </c>
      <c r="R71" s="440" t="s">
        <v>395</v>
      </c>
      <c r="S71" s="211">
        <f>SUM('7990NTP-NP'!O33*1)</f>
        <v>0</v>
      </c>
      <c r="T71" s="224">
        <f>'7990NTP-NP'!G33</f>
        <v>0</v>
      </c>
      <c r="U71" s="454" t="s">
        <v>394</v>
      </c>
      <c r="V71" s="440" t="s">
        <v>395</v>
      </c>
      <c r="W71" s="211">
        <f>SUM('7990NTP-NP'!P33*1)</f>
        <v>0</v>
      </c>
      <c r="X71" s="224">
        <f>'7990NTP-NP'!H33</f>
        <v>0</v>
      </c>
      <c r="Y71" s="454" t="s">
        <v>394</v>
      </c>
      <c r="Z71" s="440" t="s">
        <v>395</v>
      </c>
      <c r="AA71" s="211">
        <f>SUM('7990NTP-NP'!Q33*1)</f>
        <v>0</v>
      </c>
      <c r="AB71" s="224">
        <f>'7990NTP-NP'!I33</f>
        <v>0</v>
      </c>
      <c r="AC71" s="216">
        <f>IF(C71+G71+K71+O71+S71+W71+AA71&gt;0,C71+G71+K71+O71+S71+W71+AA71,0)</f>
        <v>0</v>
      </c>
      <c r="AD71" s="167"/>
    </row>
    <row r="72" spans="1:30" ht="14" x14ac:dyDescent="0.3">
      <c r="A72" s="209"/>
      <c r="B72" s="210"/>
      <c r="C72" s="230"/>
      <c r="D72" s="229"/>
      <c r="E72" s="209"/>
      <c r="F72" s="210"/>
      <c r="G72" s="217"/>
      <c r="H72" s="229"/>
      <c r="I72" s="226"/>
      <c r="J72" s="210"/>
      <c r="K72" s="217"/>
      <c r="L72" s="232"/>
      <c r="M72" s="449"/>
      <c r="N72" s="443"/>
      <c r="O72" s="217"/>
      <c r="P72" s="229"/>
      <c r="Q72" s="209"/>
      <c r="R72" s="210"/>
      <c r="S72" s="217"/>
      <c r="T72" s="229"/>
      <c r="U72" s="209"/>
      <c r="V72" s="210"/>
      <c r="W72" s="217"/>
      <c r="X72" s="229"/>
      <c r="Y72" s="209"/>
      <c r="Z72" s="210"/>
      <c r="AA72" s="217"/>
      <c r="AB72" s="229"/>
      <c r="AC72" s="216"/>
      <c r="AD72" s="167"/>
    </row>
    <row r="73" spans="1:30" ht="66" customHeight="1" x14ac:dyDescent="0.3">
      <c r="A73" s="132" t="s">
        <v>218</v>
      </c>
      <c r="B73" s="123" t="s">
        <v>219</v>
      </c>
      <c r="C73" s="228">
        <f>ROUNDDOWN('7990NTP-NP'!K34-('7990NTP-NP'!K34*0.235),2)</f>
        <v>0</v>
      </c>
      <c r="D73" s="224">
        <f>'7990NTP-NP'!C34</f>
        <v>0</v>
      </c>
      <c r="E73" s="154" t="s">
        <v>218</v>
      </c>
      <c r="F73" s="151" t="s">
        <v>219</v>
      </c>
      <c r="G73" s="211">
        <f>ROUNDDOWN('7990NTP-NP'!L34-('7990NTP-NP'!L34*0.235),2)</f>
        <v>0</v>
      </c>
      <c r="H73" s="224">
        <f>'7990NTP-NP'!D34</f>
        <v>0</v>
      </c>
      <c r="I73" s="136" t="s">
        <v>218</v>
      </c>
      <c r="J73" s="123" t="s">
        <v>219</v>
      </c>
      <c r="K73" s="211">
        <f>ROUNDDOWN('7990NTP-NP'!M34-('7990NTP-NP'!M34*0.235),2)</f>
        <v>0</v>
      </c>
      <c r="L73" s="233">
        <f>'7990NTP-NP'!E34</f>
        <v>0</v>
      </c>
      <c r="M73" s="441" t="s">
        <v>218</v>
      </c>
      <c r="N73" s="440" t="s">
        <v>219</v>
      </c>
      <c r="O73" s="211">
        <f>ROUNDDOWN('7990NTP-NP'!N34-('7990NTP-NP'!N34*0.235),2)</f>
        <v>0</v>
      </c>
      <c r="P73" s="224">
        <f>'7990NTP-NP'!F34</f>
        <v>0</v>
      </c>
      <c r="Q73" s="154" t="s">
        <v>218</v>
      </c>
      <c r="R73" s="151" t="s">
        <v>219</v>
      </c>
      <c r="S73" s="211">
        <f>ROUNDDOWN('7990NTP-NP'!O34-('7990NTP-NP'!O34*0.235),2)</f>
        <v>0</v>
      </c>
      <c r="T73" s="224">
        <f>'7990NTP-NP'!G34</f>
        <v>0</v>
      </c>
      <c r="U73" s="154" t="s">
        <v>218</v>
      </c>
      <c r="V73" s="151" t="s">
        <v>219</v>
      </c>
      <c r="W73" s="211">
        <f>ROUNDDOWN('7990NTP-NP'!P34-('7990NTP-NP'!P34*0.235),2)</f>
        <v>0</v>
      </c>
      <c r="X73" s="224">
        <f>'7990NTP-NP'!H34</f>
        <v>0</v>
      </c>
      <c r="Y73" s="154" t="s">
        <v>218</v>
      </c>
      <c r="Z73" s="151" t="s">
        <v>219</v>
      </c>
      <c r="AA73" s="211">
        <f>ROUNDDOWN('7990NTP-NP'!Q34-('7990NTP-NP'!Q34*0.235),2)</f>
        <v>0</v>
      </c>
      <c r="AB73" s="224">
        <f>'7990NTP-NP'!I34</f>
        <v>0</v>
      </c>
      <c r="AC73" s="216">
        <f>IF(C73+G73+K73+O73+S73+W73+AA73&gt;0,C73+G73+K73+O73+S73+W73+AA73,0)</f>
        <v>0</v>
      </c>
      <c r="AD73" s="167"/>
    </row>
    <row r="74" spans="1:30" ht="50.5" x14ac:dyDescent="0.3">
      <c r="A74" s="132" t="s">
        <v>220</v>
      </c>
      <c r="B74" s="123" t="s">
        <v>446</v>
      </c>
      <c r="C74" s="228">
        <f>ROUNDUP('7990NTP-NP'!K34*0.235,2)</f>
        <v>0</v>
      </c>
      <c r="D74" s="229"/>
      <c r="E74" s="154" t="s">
        <v>220</v>
      </c>
      <c r="F74" s="151" t="s">
        <v>446</v>
      </c>
      <c r="G74" s="211">
        <f>ROUNDUP('7990NTP-NP'!L34*0.235,2)</f>
        <v>0</v>
      </c>
      <c r="H74" s="229"/>
      <c r="I74" s="136" t="s">
        <v>220</v>
      </c>
      <c r="J74" s="123" t="s">
        <v>446</v>
      </c>
      <c r="K74" s="211">
        <f>ROUNDUP('7990NTP-NP'!M34*0.235,2)</f>
        <v>0</v>
      </c>
      <c r="L74" s="221"/>
      <c r="M74" s="441" t="s">
        <v>220</v>
      </c>
      <c r="N74" s="440" t="s">
        <v>446</v>
      </c>
      <c r="O74" s="211">
        <f>ROUNDUP('7990NTP-NP'!N34*0.235,2)</f>
        <v>0</v>
      </c>
      <c r="P74" s="229"/>
      <c r="Q74" s="154" t="s">
        <v>220</v>
      </c>
      <c r="R74" s="151" t="s">
        <v>446</v>
      </c>
      <c r="S74" s="211">
        <f>ROUNDUP('7990NTP-NP'!O34*0.235,2)</f>
        <v>0</v>
      </c>
      <c r="T74" s="229"/>
      <c r="U74" s="154" t="s">
        <v>220</v>
      </c>
      <c r="V74" s="151" t="s">
        <v>446</v>
      </c>
      <c r="W74" s="211">
        <f>ROUNDUP('7990NTP-NP'!P34*0.235,2)</f>
        <v>0</v>
      </c>
      <c r="X74" s="229"/>
      <c r="Y74" s="154" t="s">
        <v>220</v>
      </c>
      <c r="Z74" s="151" t="s">
        <v>446</v>
      </c>
      <c r="AA74" s="211">
        <f>ROUNDUP('7990NTP-NP'!Q34*0.235,2)</f>
        <v>0</v>
      </c>
      <c r="AB74" s="229"/>
      <c r="AC74" s="216">
        <f>IF(C74+G74+K74+O74+S74+W74+AA74&gt;0,C74+G74+K74+O74+S74+W74+AA74,0)</f>
        <v>0</v>
      </c>
      <c r="AD74" s="167"/>
    </row>
    <row r="75" spans="1:30" ht="14" x14ac:dyDescent="0.3">
      <c r="A75" s="209"/>
      <c r="B75" s="210"/>
      <c r="C75" s="230"/>
      <c r="D75" s="229"/>
      <c r="E75" s="209"/>
      <c r="F75" s="210"/>
      <c r="G75" s="217"/>
      <c r="H75" s="229"/>
      <c r="I75" s="226"/>
      <c r="J75" s="210"/>
      <c r="K75" s="217"/>
      <c r="L75" s="221"/>
      <c r="M75" s="449"/>
      <c r="N75" s="443"/>
      <c r="O75" s="217"/>
      <c r="P75" s="229"/>
      <c r="Q75" s="209"/>
      <c r="R75" s="210"/>
      <c r="S75" s="217"/>
      <c r="T75" s="229"/>
      <c r="U75" s="209"/>
      <c r="V75" s="210"/>
      <c r="W75" s="217"/>
      <c r="X75" s="229"/>
      <c r="Y75" s="209"/>
      <c r="Z75" s="210"/>
      <c r="AA75" s="217"/>
      <c r="AB75" s="229"/>
      <c r="AC75" s="216"/>
      <c r="AD75" s="167"/>
    </row>
    <row r="76" spans="1:30" ht="63" x14ac:dyDescent="0.3">
      <c r="A76" s="132" t="s">
        <v>449</v>
      </c>
      <c r="B76" s="123" t="s">
        <v>447</v>
      </c>
      <c r="C76" s="228">
        <f>ROUNDDOWN('7990NTP-NP'!K35-('7990NTP-NP'!K35*0.3066),2)</f>
        <v>0</v>
      </c>
      <c r="D76" s="224">
        <f>'7990NTP-NP'!C35</f>
        <v>0</v>
      </c>
      <c r="E76" s="154" t="s">
        <v>449</v>
      </c>
      <c r="F76" s="151" t="s">
        <v>447</v>
      </c>
      <c r="G76" s="211">
        <f>ROUNDDOWN('7990NTP-NP'!L35-('7990NTP-NP'!L35*0.3066),2)</f>
        <v>0</v>
      </c>
      <c r="H76" s="224">
        <f>'7990NTP-NP'!D35</f>
        <v>0</v>
      </c>
      <c r="I76" s="136" t="s">
        <v>449</v>
      </c>
      <c r="J76" s="123" t="s">
        <v>447</v>
      </c>
      <c r="K76" s="211">
        <f>ROUNDDOWN('7990NTP-NP'!M35-('7990NTP-NP'!M35*0.3066),2)</f>
        <v>0</v>
      </c>
      <c r="L76" s="233">
        <f>'7990NTP-NP'!E35</f>
        <v>0</v>
      </c>
      <c r="M76" s="441" t="s">
        <v>449</v>
      </c>
      <c r="N76" s="440" t="s">
        <v>447</v>
      </c>
      <c r="O76" s="211">
        <f>ROUNDDOWN('7990NTP-NP'!N35-('7990NTP-NP'!N35*0.3066),2)</f>
        <v>0</v>
      </c>
      <c r="P76" s="224">
        <f>'7990NTP-NP'!F35</f>
        <v>0</v>
      </c>
      <c r="Q76" s="154" t="s">
        <v>449</v>
      </c>
      <c r="R76" s="151" t="s">
        <v>447</v>
      </c>
      <c r="S76" s="211">
        <f>ROUNDDOWN('7990NTP-NP'!O35-('7990NTP-NP'!O35*0.3066),2)</f>
        <v>0</v>
      </c>
      <c r="T76" s="224">
        <f>'7990NTP-NP'!G35</f>
        <v>0</v>
      </c>
      <c r="U76" s="154" t="s">
        <v>449</v>
      </c>
      <c r="V76" s="151" t="s">
        <v>447</v>
      </c>
      <c r="W76" s="211">
        <f>ROUNDDOWN('7990NTP-NP'!P35-('7990NTP-NP'!P35*0.3066),2)</f>
        <v>0</v>
      </c>
      <c r="X76" s="224">
        <f>'7990NTP-NP'!H35</f>
        <v>0</v>
      </c>
      <c r="Y76" s="154" t="s">
        <v>449</v>
      </c>
      <c r="Z76" s="151" t="s">
        <v>447</v>
      </c>
      <c r="AA76" s="211">
        <f>ROUNDDOWN('7990NTP-NP'!Q35-('7990NTP-NP'!Q35*0.3066),2)</f>
        <v>0</v>
      </c>
      <c r="AB76" s="224">
        <f>'7990NTP-NP'!I35</f>
        <v>0</v>
      </c>
      <c r="AC76" s="216">
        <f>IF(C76+G76+K76+O76+S76+W76+AA76&gt;0,C76+G76+K76+O76+S76+W76+AA76,0)</f>
        <v>0</v>
      </c>
      <c r="AD76" s="167"/>
    </row>
    <row r="77" spans="1:30" ht="63" x14ac:dyDescent="0.3">
      <c r="A77" s="132" t="s">
        <v>450</v>
      </c>
      <c r="B77" s="123" t="s">
        <v>448</v>
      </c>
      <c r="C77" s="228">
        <f>ROUNDUP('7990NTP-NP'!K35*0.3066,2)</f>
        <v>0</v>
      </c>
      <c r="D77" s="234"/>
      <c r="E77" s="154" t="s">
        <v>450</v>
      </c>
      <c r="F77" s="151" t="s">
        <v>448</v>
      </c>
      <c r="G77" s="211">
        <f>ROUNDUP('7990NTP-NP'!L35*0.3066,2)</f>
        <v>0</v>
      </c>
      <c r="H77" s="234"/>
      <c r="I77" s="136" t="s">
        <v>450</v>
      </c>
      <c r="J77" s="123" t="s">
        <v>448</v>
      </c>
      <c r="K77" s="211">
        <f>ROUNDUP('7990NTP-NP'!M35*0.3066,2)</f>
        <v>0</v>
      </c>
      <c r="L77" s="214"/>
      <c r="M77" s="441" t="s">
        <v>450</v>
      </c>
      <c r="N77" s="440" t="s">
        <v>448</v>
      </c>
      <c r="O77" s="211">
        <f>ROUNDUP('7990NTP-NP'!N35*0.3066,2)</f>
        <v>0</v>
      </c>
      <c r="P77" s="234"/>
      <c r="Q77" s="154" t="s">
        <v>450</v>
      </c>
      <c r="R77" s="151" t="s">
        <v>448</v>
      </c>
      <c r="S77" s="211">
        <f>ROUNDUP('7990NTP-NP'!O35*0.3066,2)</f>
        <v>0</v>
      </c>
      <c r="T77" s="234"/>
      <c r="U77" s="154" t="s">
        <v>450</v>
      </c>
      <c r="V77" s="151" t="s">
        <v>448</v>
      </c>
      <c r="W77" s="211">
        <f>ROUNDUP('7990NTP-NP'!P35*0.3066,2)</f>
        <v>0</v>
      </c>
      <c r="X77" s="234"/>
      <c r="Y77" s="154" t="s">
        <v>450</v>
      </c>
      <c r="Z77" s="151" t="s">
        <v>448</v>
      </c>
      <c r="AA77" s="211">
        <f>ROUNDUP('7990NTP-NP'!Q35*0.3066,2)</f>
        <v>0</v>
      </c>
      <c r="AB77" s="234"/>
      <c r="AC77" s="216">
        <f>IF(C77+G77+K77+O77+S77+W77+AA77&gt;0,C77+G77+K77+O77+S77+W77+AA77,0)</f>
        <v>0</v>
      </c>
      <c r="AD77" s="167"/>
    </row>
    <row r="78" spans="1:30" ht="14" x14ac:dyDescent="0.3">
      <c r="A78" s="209"/>
      <c r="B78" s="236"/>
      <c r="C78" s="230"/>
      <c r="D78" s="234"/>
      <c r="E78" s="209"/>
      <c r="F78" s="236"/>
      <c r="G78" s="217"/>
      <c r="H78" s="234"/>
      <c r="I78" s="226"/>
      <c r="J78" s="236"/>
      <c r="K78" s="217"/>
      <c r="L78" s="214"/>
      <c r="M78" s="449"/>
      <c r="N78" s="446"/>
      <c r="O78" s="217"/>
      <c r="P78" s="234"/>
      <c r="Q78" s="209"/>
      <c r="R78" s="236"/>
      <c r="S78" s="217"/>
      <c r="T78" s="234"/>
      <c r="U78" s="209"/>
      <c r="V78" s="236"/>
      <c r="W78" s="217"/>
      <c r="X78" s="234"/>
      <c r="Y78" s="209"/>
      <c r="Z78" s="236"/>
      <c r="AA78" s="217"/>
      <c r="AB78" s="234"/>
      <c r="AC78" s="216"/>
      <c r="AD78" s="167"/>
    </row>
    <row r="79" spans="1:30" ht="75.5" x14ac:dyDescent="0.3">
      <c r="A79" s="132" t="s">
        <v>221</v>
      </c>
      <c r="B79" s="123" t="s">
        <v>222</v>
      </c>
      <c r="C79" s="228">
        <f>ROUNDDOWN('7990NTP-NP'!K36-('7990NTP-NP'!K36*0.1916),2)</f>
        <v>0</v>
      </c>
      <c r="D79" s="224">
        <f>'7990NTP-NP'!C36</f>
        <v>0</v>
      </c>
      <c r="E79" s="154" t="s">
        <v>221</v>
      </c>
      <c r="F79" s="151" t="s">
        <v>482</v>
      </c>
      <c r="G79" s="211">
        <f>ROUNDDOWN('7990NTP-NP'!L36-('7990NTP-NP'!L36*0.1916),2)</f>
        <v>0</v>
      </c>
      <c r="H79" s="224">
        <f>'7990NTP-NP'!D36</f>
        <v>0</v>
      </c>
      <c r="I79" s="136" t="s">
        <v>221</v>
      </c>
      <c r="J79" s="123" t="s">
        <v>533</v>
      </c>
      <c r="K79" s="211">
        <f>ROUNDDOWN('7990NTP-NP'!M36-('7990NTP-NP'!M36*0.1916),2)</f>
        <v>0</v>
      </c>
      <c r="L79" s="233">
        <f>'7990NTP-NP'!E36</f>
        <v>0</v>
      </c>
      <c r="M79" s="441" t="s">
        <v>221</v>
      </c>
      <c r="N79" s="440" t="s">
        <v>577</v>
      </c>
      <c r="O79" s="211">
        <f>ROUNDDOWN('7990NTP-NP'!N36-('7990NTP-NP'!N36*0.1916),2)</f>
        <v>0</v>
      </c>
      <c r="P79" s="224">
        <f>'7990NTP-NP'!F36</f>
        <v>0</v>
      </c>
      <c r="Q79" s="154" t="s">
        <v>221</v>
      </c>
      <c r="R79" s="151" t="s">
        <v>595</v>
      </c>
      <c r="S79" s="211">
        <f>ROUNDDOWN('7990NTP-NP'!O36-('7990NTP-NP'!O36*0.1916),2)</f>
        <v>0</v>
      </c>
      <c r="T79" s="224">
        <f>'7990NTP-NP'!G36</f>
        <v>0</v>
      </c>
      <c r="U79" s="154" t="s">
        <v>221</v>
      </c>
      <c r="V79" s="151" t="s">
        <v>613</v>
      </c>
      <c r="W79" s="211">
        <f>ROUNDDOWN('7990NTP-NP'!P36-('7990NTP-NP'!P36*0.1916),2)</f>
        <v>0</v>
      </c>
      <c r="X79" s="224">
        <f>'7990NTP-NP'!H36</f>
        <v>0</v>
      </c>
      <c r="Y79" s="154" t="s">
        <v>221</v>
      </c>
      <c r="Z79" s="151" t="s">
        <v>631</v>
      </c>
      <c r="AA79" s="211">
        <f>ROUNDDOWN('7990NTP-NP'!Q36-('7990NTP-NP'!Q36*0.1916),2)</f>
        <v>0</v>
      </c>
      <c r="AB79" s="224">
        <f>'7990NTP-NP'!I36</f>
        <v>0</v>
      </c>
      <c r="AC79" s="216">
        <f>IF(C79+G79+K79+O79+S79+W79+AA79&gt;0,C79+G79+K79+O79+S79+W79+AA79,0)</f>
        <v>0</v>
      </c>
      <c r="AD79" s="167"/>
    </row>
    <row r="80" spans="1:30" ht="75.5" x14ac:dyDescent="0.3">
      <c r="A80" s="132" t="s">
        <v>223</v>
      </c>
      <c r="B80" s="123" t="s">
        <v>224</v>
      </c>
      <c r="C80" s="228">
        <f>ROUNDUP('7990NTP-NP'!K36*0.1916,2)</f>
        <v>0</v>
      </c>
      <c r="D80" s="234"/>
      <c r="E80" s="154" t="s">
        <v>223</v>
      </c>
      <c r="F80" s="151" t="s">
        <v>483</v>
      </c>
      <c r="G80" s="211">
        <f>ROUNDUP('7990NTP-NP'!L36*0.1916,2)</f>
        <v>0</v>
      </c>
      <c r="H80" s="234"/>
      <c r="I80" s="136" t="s">
        <v>223</v>
      </c>
      <c r="J80" s="123" t="s">
        <v>534</v>
      </c>
      <c r="K80" s="211">
        <f>ROUNDUP('7990NTP-NP'!M36*0.1916,2)</f>
        <v>0</v>
      </c>
      <c r="L80" s="214"/>
      <c r="M80" s="441" t="s">
        <v>223</v>
      </c>
      <c r="N80" s="440" t="s">
        <v>578</v>
      </c>
      <c r="O80" s="211">
        <f>ROUNDUP('7990NTP-NP'!N36*0.1916,2)</f>
        <v>0</v>
      </c>
      <c r="P80" s="234"/>
      <c r="Q80" s="154" t="s">
        <v>223</v>
      </c>
      <c r="R80" s="151" t="s">
        <v>596</v>
      </c>
      <c r="S80" s="211">
        <f>ROUNDUP('7990NTP-NP'!O36*0.1916,2)</f>
        <v>0</v>
      </c>
      <c r="T80" s="234"/>
      <c r="U80" s="154" t="s">
        <v>223</v>
      </c>
      <c r="V80" s="151" t="s">
        <v>614</v>
      </c>
      <c r="W80" s="211">
        <f>ROUNDUP('7990NTP-NP'!P36*0.1916,2)</f>
        <v>0</v>
      </c>
      <c r="X80" s="234"/>
      <c r="Y80" s="154" t="s">
        <v>223</v>
      </c>
      <c r="Z80" s="151" t="s">
        <v>632</v>
      </c>
      <c r="AA80" s="211">
        <f>ROUNDUP('7990NTP-NP'!Q36*0.1916,2)</f>
        <v>0</v>
      </c>
      <c r="AB80" s="234"/>
      <c r="AC80" s="216">
        <f>IF(C80+G80+K80+O80+S80+W80+AA80&gt;0,C80+G80+K80+O80+S80+W80+AA80,0)</f>
        <v>0</v>
      </c>
      <c r="AD80" s="167"/>
    </row>
    <row r="81" spans="1:30" ht="14" x14ac:dyDescent="0.3">
      <c r="A81" s="209"/>
      <c r="B81" s="236"/>
      <c r="C81" s="230"/>
      <c r="D81" s="234"/>
      <c r="E81" s="209"/>
      <c r="F81" s="236"/>
      <c r="G81" s="217"/>
      <c r="H81" s="234"/>
      <c r="I81" s="226"/>
      <c r="J81" s="236"/>
      <c r="K81" s="217"/>
      <c r="L81" s="214"/>
      <c r="M81" s="449"/>
      <c r="N81" s="446"/>
      <c r="O81" s="217"/>
      <c r="P81" s="234"/>
      <c r="Q81" s="209"/>
      <c r="R81" s="236"/>
      <c r="S81" s="217"/>
      <c r="T81" s="234"/>
      <c r="U81" s="209"/>
      <c r="V81" s="236"/>
      <c r="W81" s="217"/>
      <c r="X81" s="234"/>
      <c r="Y81" s="209"/>
      <c r="Z81" s="236"/>
      <c r="AA81" s="217"/>
      <c r="AB81" s="234"/>
      <c r="AC81" s="216"/>
      <c r="AD81" s="167"/>
    </row>
    <row r="82" spans="1:30" ht="75.5" x14ac:dyDescent="0.3">
      <c r="A82" s="132" t="s">
        <v>184</v>
      </c>
      <c r="B82" s="123" t="s">
        <v>185</v>
      </c>
      <c r="C82" s="228">
        <f>ROUNDDOWN('7990NTP-NP'!K37-('7990NTP-NP'!K37*0.438),2)</f>
        <v>0</v>
      </c>
      <c r="D82" s="224">
        <f>'7990NTP-NP'!C37</f>
        <v>0</v>
      </c>
      <c r="E82" s="154" t="s">
        <v>184</v>
      </c>
      <c r="F82" s="151" t="s">
        <v>484</v>
      </c>
      <c r="G82" s="211">
        <f>ROUNDDOWN('7990NTP-NP'!L37-('7990NTP-NP'!L37*0.438),2)</f>
        <v>0</v>
      </c>
      <c r="H82" s="224">
        <f>'7990NTP-NP'!D37</f>
        <v>0</v>
      </c>
      <c r="I82" s="136" t="s">
        <v>184</v>
      </c>
      <c r="J82" s="123" t="s">
        <v>535</v>
      </c>
      <c r="K82" s="211">
        <f>ROUNDDOWN('7990NTP-NP'!M37-('7990NTP-NP'!M37*0.438),2)</f>
        <v>0</v>
      </c>
      <c r="L82" s="233">
        <f>'7990NTP-NP'!E37</f>
        <v>0</v>
      </c>
      <c r="M82" s="441" t="s">
        <v>184</v>
      </c>
      <c r="N82" s="440" t="s">
        <v>579</v>
      </c>
      <c r="O82" s="211">
        <f>ROUNDDOWN('7990NTP-NP'!N37-('7990NTP-NP'!N37*0.438),2)</f>
        <v>0</v>
      </c>
      <c r="P82" s="224">
        <f>'7990NTP-NP'!F37</f>
        <v>0</v>
      </c>
      <c r="Q82" s="154" t="s">
        <v>184</v>
      </c>
      <c r="R82" s="151" t="s">
        <v>597</v>
      </c>
      <c r="S82" s="211">
        <f>ROUNDDOWN('7990NTP-NP'!O37-('7990NTP-NP'!O37*0.438),2)</f>
        <v>0</v>
      </c>
      <c r="T82" s="224">
        <f>'7990NTP-NP'!G37</f>
        <v>0</v>
      </c>
      <c r="U82" s="154" t="s">
        <v>184</v>
      </c>
      <c r="V82" s="151" t="s">
        <v>615</v>
      </c>
      <c r="W82" s="211">
        <f>ROUNDDOWN('7990NTP-NP'!P37-('7990NTP-NP'!P37*0.438),2)</f>
        <v>0</v>
      </c>
      <c r="X82" s="224">
        <f>'7990NTP-NP'!H37</f>
        <v>0</v>
      </c>
      <c r="Y82" s="154" t="s">
        <v>184</v>
      </c>
      <c r="Z82" s="151" t="s">
        <v>633</v>
      </c>
      <c r="AA82" s="211">
        <f>ROUNDDOWN('7990NTP-NP'!Q37-('7990NTP-NP'!Q37*0.438),2)</f>
        <v>0</v>
      </c>
      <c r="AB82" s="224">
        <f>'7990NTP-NP'!I37</f>
        <v>0</v>
      </c>
      <c r="AC82" s="216">
        <f>IF(C82+G82+K82+O82+S82+W82+AA82&gt;0,C82+G82+K82+O82+S82+W82+AA82,0)</f>
        <v>0</v>
      </c>
      <c r="AD82" s="167"/>
    </row>
    <row r="83" spans="1:30" ht="75.5" x14ac:dyDescent="0.3">
      <c r="A83" s="132" t="s">
        <v>186</v>
      </c>
      <c r="B83" s="123" t="s">
        <v>187</v>
      </c>
      <c r="C83" s="228">
        <f>ROUNDUP('7990NTP-NP'!K37*0.438,2)</f>
        <v>0</v>
      </c>
      <c r="D83" s="234"/>
      <c r="E83" s="154" t="s">
        <v>186</v>
      </c>
      <c r="F83" s="151" t="s">
        <v>485</v>
      </c>
      <c r="G83" s="211">
        <f>ROUNDUP('7990NTP-NP'!L37*0.438,2)</f>
        <v>0</v>
      </c>
      <c r="H83" s="234"/>
      <c r="I83" s="136" t="s">
        <v>186</v>
      </c>
      <c r="J83" s="123" t="s">
        <v>536</v>
      </c>
      <c r="K83" s="211">
        <f>ROUNDUP('7990NTP-NP'!M37*0.438,2)</f>
        <v>0</v>
      </c>
      <c r="L83" s="214"/>
      <c r="M83" s="441" t="s">
        <v>186</v>
      </c>
      <c r="N83" s="440" t="s">
        <v>580</v>
      </c>
      <c r="O83" s="211">
        <f>ROUNDUP('7990NTP-NP'!N37*0.438,2)</f>
        <v>0</v>
      </c>
      <c r="P83" s="234"/>
      <c r="Q83" s="154" t="s">
        <v>186</v>
      </c>
      <c r="R83" s="151" t="s">
        <v>598</v>
      </c>
      <c r="S83" s="211">
        <f>ROUNDUP('7990NTP-NP'!O37*0.438,2)</f>
        <v>0</v>
      </c>
      <c r="T83" s="234"/>
      <c r="U83" s="154" t="s">
        <v>186</v>
      </c>
      <c r="V83" s="151" t="s">
        <v>616</v>
      </c>
      <c r="W83" s="211">
        <f>ROUNDUP('7990NTP-NP'!P37*0.438,2)</f>
        <v>0</v>
      </c>
      <c r="X83" s="234"/>
      <c r="Y83" s="154" t="s">
        <v>186</v>
      </c>
      <c r="Z83" s="151" t="s">
        <v>634</v>
      </c>
      <c r="AA83" s="211">
        <f>ROUNDUP('7990NTP-NP'!Q37*0.438,2)</f>
        <v>0</v>
      </c>
      <c r="AB83" s="234"/>
      <c r="AC83" s="216">
        <f>IF(C83+G83+K83+O83+S83+W83+AA83&gt;0,C83+G83+K83+O83+S83+W83+AA83,0)</f>
        <v>0</v>
      </c>
      <c r="AD83" s="167"/>
    </row>
    <row r="84" spans="1:30" ht="14" x14ac:dyDescent="0.3">
      <c r="A84" s="209"/>
      <c r="B84" s="236"/>
      <c r="C84" s="230"/>
      <c r="D84" s="234"/>
      <c r="E84" s="209"/>
      <c r="F84" s="236"/>
      <c r="G84" s="217"/>
      <c r="H84" s="234"/>
      <c r="I84" s="226"/>
      <c r="J84" s="236"/>
      <c r="K84" s="217"/>
      <c r="L84" s="214"/>
      <c r="M84" s="449"/>
      <c r="N84" s="446"/>
      <c r="O84" s="217"/>
      <c r="P84" s="234"/>
      <c r="Q84" s="209"/>
      <c r="R84" s="236"/>
      <c r="S84" s="217"/>
      <c r="T84" s="234"/>
      <c r="U84" s="209"/>
      <c r="V84" s="236"/>
      <c r="W84" s="217"/>
      <c r="X84" s="234"/>
      <c r="Y84" s="209"/>
      <c r="Z84" s="236"/>
      <c r="AA84" s="217"/>
      <c r="AB84" s="234"/>
      <c r="AC84" s="216"/>
      <c r="AD84" s="167"/>
    </row>
    <row r="85" spans="1:30" ht="98" x14ac:dyDescent="0.3">
      <c r="A85" s="495" t="s">
        <v>703</v>
      </c>
      <c r="B85" s="496" t="s">
        <v>701</v>
      </c>
      <c r="C85" s="228">
        <f>SUM('7990NTP-NP'!K38*1)</f>
        <v>0</v>
      </c>
      <c r="D85" s="224">
        <f>'7990NTP-NP'!C38</f>
        <v>0</v>
      </c>
      <c r="E85" s="495" t="s">
        <v>703</v>
      </c>
      <c r="F85" s="496" t="s">
        <v>701</v>
      </c>
      <c r="G85" s="211">
        <f>SUM('7990NTP-NP'!L38*1)</f>
        <v>0</v>
      </c>
      <c r="H85" s="224">
        <f>'7990NTP-NP'!D38</f>
        <v>0</v>
      </c>
      <c r="I85" s="495" t="s">
        <v>703</v>
      </c>
      <c r="J85" s="496" t="s">
        <v>701</v>
      </c>
      <c r="K85" s="211">
        <f>SUM('7990NTP-NP'!M38*1)</f>
        <v>0</v>
      </c>
      <c r="L85" s="224">
        <f>'7990NTP-NP'!E38</f>
        <v>0</v>
      </c>
      <c r="M85" s="495" t="s">
        <v>703</v>
      </c>
      <c r="N85" s="496" t="s">
        <v>701</v>
      </c>
      <c r="O85" s="211">
        <f>SUM('7990NTP-NP'!N38*1)</f>
        <v>0</v>
      </c>
      <c r="P85" s="224">
        <f>'7990NTP-NP'!F38</f>
        <v>0</v>
      </c>
      <c r="Q85" s="495" t="s">
        <v>703</v>
      </c>
      <c r="R85" s="496" t="s">
        <v>701</v>
      </c>
      <c r="S85" s="211">
        <f>SUM('7990NTP-NP'!O38*1)</f>
        <v>0</v>
      </c>
      <c r="T85" s="224">
        <f>'7990NTP-NP'!G38</f>
        <v>0</v>
      </c>
      <c r="U85" s="495" t="s">
        <v>703</v>
      </c>
      <c r="V85" s="496" t="s">
        <v>701</v>
      </c>
      <c r="W85" s="211">
        <f>SUM('7990NTP-NP'!P38*1)</f>
        <v>0</v>
      </c>
      <c r="X85" s="224">
        <f>'7990NTP-NP'!H38</f>
        <v>0</v>
      </c>
      <c r="Y85" s="495" t="s">
        <v>703</v>
      </c>
      <c r="Z85" s="496" t="s">
        <v>701</v>
      </c>
      <c r="AA85" s="211">
        <f>SUM('7990NTP-NP'!Q38*1)</f>
        <v>0</v>
      </c>
      <c r="AB85" s="224">
        <f>'7990NTP-NP'!I38</f>
        <v>0</v>
      </c>
      <c r="AC85" s="216">
        <f>IF(C85+G85+K85+O85+S85+W85+AA85&gt;0,C85+G85+K85+O85+S85+W85+AA85,0)</f>
        <v>0</v>
      </c>
      <c r="AD85" s="167"/>
    </row>
    <row r="86" spans="1:30" ht="14" x14ac:dyDescent="0.3">
      <c r="A86" s="489"/>
      <c r="B86" s="490"/>
      <c r="C86" s="491"/>
      <c r="D86" s="234"/>
      <c r="E86" s="449"/>
      <c r="F86" s="490"/>
      <c r="G86" s="492"/>
      <c r="H86" s="234"/>
      <c r="I86" s="489"/>
      <c r="J86" s="490"/>
      <c r="K86" s="492"/>
      <c r="L86" s="493"/>
      <c r="M86" s="449"/>
      <c r="N86" s="494"/>
      <c r="O86" s="492"/>
      <c r="P86" s="234"/>
      <c r="Q86" s="449"/>
      <c r="R86" s="490"/>
      <c r="S86" s="492"/>
      <c r="T86" s="234"/>
      <c r="U86" s="449"/>
      <c r="V86" s="490"/>
      <c r="W86" s="492"/>
      <c r="X86" s="234"/>
      <c r="Y86" s="449"/>
      <c r="Z86" s="490"/>
      <c r="AA86" s="492"/>
      <c r="AB86" s="234"/>
      <c r="AC86" s="467"/>
      <c r="AD86" s="167"/>
    </row>
    <row r="87" spans="1:30" ht="75.5" x14ac:dyDescent="0.3">
      <c r="A87" s="133" t="s">
        <v>225</v>
      </c>
      <c r="B87" s="123" t="s">
        <v>226</v>
      </c>
      <c r="C87" s="228">
        <f>ROUNDDOWN('7990NTP-NP'!K39-('7990NTP-NP'!K39*0.235),2)</f>
        <v>0</v>
      </c>
      <c r="D87" s="224">
        <f>'7990NTP-NP'!C39</f>
        <v>0</v>
      </c>
      <c r="E87" s="155" t="s">
        <v>225</v>
      </c>
      <c r="F87" s="151" t="s">
        <v>226</v>
      </c>
      <c r="G87" s="211">
        <f>ROUNDDOWN('7990NTP-NP'!L39-('7990NTP-NP'!L39*0.235),2)</f>
        <v>0</v>
      </c>
      <c r="H87" s="224">
        <f>'7990NTP-NP'!D39</f>
        <v>0</v>
      </c>
      <c r="I87" s="143" t="s">
        <v>225</v>
      </c>
      <c r="J87" s="123" t="s">
        <v>226</v>
      </c>
      <c r="K87" s="211">
        <f>ROUNDDOWN('7990NTP-NP'!M39-('7990NTP-NP'!M39*0.235),2)</f>
        <v>0</v>
      </c>
      <c r="L87" s="233">
        <f>'7990NTP-NP'!E39</f>
        <v>0</v>
      </c>
      <c r="M87" s="455" t="s">
        <v>225</v>
      </c>
      <c r="N87" s="440" t="s">
        <v>226</v>
      </c>
      <c r="O87" s="211">
        <f>ROUNDDOWN('7990NTP-NP'!N39-('7990NTP-NP'!N39*0.235),2)</f>
        <v>0</v>
      </c>
      <c r="P87" s="224">
        <f>'7990NTP-NP'!F39</f>
        <v>0</v>
      </c>
      <c r="Q87" s="155" t="s">
        <v>225</v>
      </c>
      <c r="R87" s="151" t="s">
        <v>226</v>
      </c>
      <c r="S87" s="211">
        <f>ROUNDDOWN('7990NTP-NP'!O39-('7990NTP-NP'!O39*0.235),2)</f>
        <v>0</v>
      </c>
      <c r="T87" s="224">
        <f>'7990NTP-NP'!G39</f>
        <v>0</v>
      </c>
      <c r="U87" s="155" t="s">
        <v>225</v>
      </c>
      <c r="V87" s="151" t="s">
        <v>226</v>
      </c>
      <c r="W87" s="211">
        <f>ROUNDDOWN('7990NTP-NP'!P39-('7990NTP-NP'!P39*0.235),2)</f>
        <v>0</v>
      </c>
      <c r="X87" s="224">
        <f>'7990NTP-NP'!H39</f>
        <v>0</v>
      </c>
      <c r="Y87" s="155" t="s">
        <v>225</v>
      </c>
      <c r="Z87" s="151" t="s">
        <v>226</v>
      </c>
      <c r="AA87" s="211">
        <f>ROUNDDOWN('7990NTP-NP'!Q39-('7990NTP-NP'!Q39*0.235),2)</f>
        <v>0</v>
      </c>
      <c r="AB87" s="224">
        <f>'7990NTP-NP'!I39</f>
        <v>0</v>
      </c>
      <c r="AC87" s="216">
        <f>IF(C87+G87+K87+O87+S87+W87+AA87&gt;0,C87+G87+K87+O87+S87+W87+AA87,0)</f>
        <v>0</v>
      </c>
      <c r="AD87" s="167"/>
    </row>
    <row r="88" spans="1:30" ht="75.5" x14ac:dyDescent="0.3">
      <c r="A88" s="133" t="s">
        <v>227</v>
      </c>
      <c r="B88" s="123" t="s">
        <v>228</v>
      </c>
      <c r="C88" s="228">
        <f>ROUNDUP('7990NTP-NP'!K39*0.235,2)</f>
        <v>0</v>
      </c>
      <c r="D88" s="234"/>
      <c r="E88" s="155" t="s">
        <v>227</v>
      </c>
      <c r="F88" s="151" t="s">
        <v>228</v>
      </c>
      <c r="G88" s="211">
        <f>ROUNDUP('7990NTP-NP'!L39*0.235,2)</f>
        <v>0</v>
      </c>
      <c r="H88" s="234"/>
      <c r="I88" s="143" t="s">
        <v>227</v>
      </c>
      <c r="J88" s="123" t="s">
        <v>228</v>
      </c>
      <c r="K88" s="211">
        <f>ROUNDUP('7990NTP-NP'!M39*0.235,2)</f>
        <v>0</v>
      </c>
      <c r="L88" s="214"/>
      <c r="M88" s="455" t="s">
        <v>227</v>
      </c>
      <c r="N88" s="440" t="s">
        <v>228</v>
      </c>
      <c r="O88" s="211">
        <f>ROUNDUP('7990NTP-NP'!N39*0.235,2)</f>
        <v>0</v>
      </c>
      <c r="P88" s="234"/>
      <c r="Q88" s="155" t="s">
        <v>227</v>
      </c>
      <c r="R88" s="151" t="s">
        <v>228</v>
      </c>
      <c r="S88" s="211">
        <f>ROUNDUP('7990NTP-NP'!O39*0.235,2)</f>
        <v>0</v>
      </c>
      <c r="T88" s="234"/>
      <c r="U88" s="155" t="s">
        <v>227</v>
      </c>
      <c r="V88" s="151" t="s">
        <v>228</v>
      </c>
      <c r="W88" s="211">
        <f>ROUNDUP('7990NTP-NP'!P39*0.235,2)</f>
        <v>0</v>
      </c>
      <c r="X88" s="234"/>
      <c r="Y88" s="155" t="s">
        <v>227</v>
      </c>
      <c r="Z88" s="151" t="s">
        <v>228</v>
      </c>
      <c r="AA88" s="211">
        <f>ROUNDUP('7990NTP-NP'!Q39*0.235,2)</f>
        <v>0</v>
      </c>
      <c r="AB88" s="234"/>
      <c r="AC88" s="216">
        <f>IF(C88+G88+K88+O88+S88+W88+AA88&gt;0,C88+G88+K88+O88+S88+W88+AA88,0)</f>
        <v>0</v>
      </c>
      <c r="AD88" s="167"/>
    </row>
    <row r="89" spans="1:30" ht="14" x14ac:dyDescent="0.3">
      <c r="A89" s="209"/>
      <c r="B89" s="236"/>
      <c r="C89" s="230"/>
      <c r="D89" s="234"/>
      <c r="E89" s="209"/>
      <c r="F89" s="236"/>
      <c r="G89" s="217"/>
      <c r="H89" s="234"/>
      <c r="I89" s="226"/>
      <c r="J89" s="236"/>
      <c r="K89" s="217"/>
      <c r="L89" s="214"/>
      <c r="M89" s="449"/>
      <c r="N89" s="446"/>
      <c r="O89" s="217"/>
      <c r="P89" s="234"/>
      <c r="Q89" s="209"/>
      <c r="R89" s="236"/>
      <c r="S89" s="217"/>
      <c r="T89" s="234"/>
      <c r="U89" s="209"/>
      <c r="V89" s="236"/>
      <c r="W89" s="217"/>
      <c r="X89" s="234"/>
      <c r="Y89" s="209"/>
      <c r="Z89" s="236"/>
      <c r="AA89" s="217"/>
      <c r="AB89" s="234"/>
      <c r="AC89" s="216"/>
      <c r="AD89" s="167"/>
    </row>
    <row r="90" spans="1:30" ht="75.5" x14ac:dyDescent="0.3">
      <c r="A90" s="134" t="s">
        <v>453</v>
      </c>
      <c r="B90" s="123" t="s">
        <v>451</v>
      </c>
      <c r="C90" s="228">
        <f>ROUNDDOWN('7990NTP-NP'!K40-('7990NTP-NP'!K40*0.3066),2)</f>
        <v>0</v>
      </c>
      <c r="D90" s="224">
        <f>'7990NTP-NP'!C40</f>
        <v>0</v>
      </c>
      <c r="E90" s="156" t="s">
        <v>453</v>
      </c>
      <c r="F90" s="151" t="s">
        <v>451</v>
      </c>
      <c r="G90" s="211">
        <f>ROUNDDOWN('7990NTP-NP'!L40-('7990NTP-NP'!L40*0.3066),2)</f>
        <v>0</v>
      </c>
      <c r="H90" s="224">
        <f>'7990NTP-NP'!D40</f>
        <v>0</v>
      </c>
      <c r="I90" s="144" t="s">
        <v>453</v>
      </c>
      <c r="J90" s="123" t="s">
        <v>451</v>
      </c>
      <c r="K90" s="211">
        <f>ROUNDDOWN('7990NTP-NP'!M40-('7990NTP-NP'!M40*0.3066),2)</f>
        <v>0</v>
      </c>
      <c r="L90" s="233">
        <f>'7990NTP-NP'!E40</f>
        <v>0</v>
      </c>
      <c r="M90" s="441" t="s">
        <v>453</v>
      </c>
      <c r="N90" s="440" t="s">
        <v>451</v>
      </c>
      <c r="O90" s="211">
        <f>ROUNDDOWN('7990NTP-NP'!N40-('7990NTP-NP'!N40*0.3066),2)</f>
        <v>0</v>
      </c>
      <c r="P90" s="224">
        <f>'7990NTP-NP'!F40</f>
        <v>0</v>
      </c>
      <c r="Q90" s="156" t="s">
        <v>453</v>
      </c>
      <c r="R90" s="151" t="s">
        <v>451</v>
      </c>
      <c r="S90" s="211">
        <f>ROUNDDOWN('7990NTP-NP'!O40-('7990NTP-NP'!O40*0.3066),2)</f>
        <v>0</v>
      </c>
      <c r="T90" s="224">
        <f>'7990NTP-NP'!G40</f>
        <v>0</v>
      </c>
      <c r="U90" s="156" t="s">
        <v>453</v>
      </c>
      <c r="V90" s="151" t="s">
        <v>451</v>
      </c>
      <c r="W90" s="211">
        <f>ROUNDDOWN('7990NTP-NP'!P40-('7990NTP-NP'!P40*0.3066),2)</f>
        <v>0</v>
      </c>
      <c r="X90" s="224">
        <f>'7990NTP-NP'!H40</f>
        <v>0</v>
      </c>
      <c r="Y90" s="156" t="s">
        <v>453</v>
      </c>
      <c r="Z90" s="151" t="s">
        <v>451</v>
      </c>
      <c r="AA90" s="211">
        <f>ROUNDDOWN('7990NTP-NP'!Q40-('7990NTP-NP'!Q40*0.3066),2)</f>
        <v>0</v>
      </c>
      <c r="AB90" s="224">
        <f>'7990NTP-NP'!I40</f>
        <v>0</v>
      </c>
      <c r="AC90" s="216">
        <f>IF(C90+G90+K90+O90+S90+W90+AA90&gt;0,C90+G90+K90+O90+S90+W90+AA90,0)</f>
        <v>0</v>
      </c>
      <c r="AD90" s="167"/>
    </row>
    <row r="91" spans="1:30" ht="75.5" x14ac:dyDescent="0.3">
      <c r="A91" s="134" t="s">
        <v>454</v>
      </c>
      <c r="B91" s="123" t="s">
        <v>452</v>
      </c>
      <c r="C91" s="228">
        <f>ROUNDUP('7990NTP-NP'!K40*0.3066,2)</f>
        <v>0</v>
      </c>
      <c r="D91" s="234"/>
      <c r="E91" s="156" t="s">
        <v>454</v>
      </c>
      <c r="F91" s="151" t="s">
        <v>452</v>
      </c>
      <c r="G91" s="211">
        <f>ROUNDUP('7990NTP-NP'!L40*0.3066,2)</f>
        <v>0</v>
      </c>
      <c r="H91" s="234"/>
      <c r="I91" s="144" t="s">
        <v>454</v>
      </c>
      <c r="J91" s="123" t="s">
        <v>452</v>
      </c>
      <c r="K91" s="211">
        <f>ROUNDUP('7990NTP-NP'!M40*0.3066,2)</f>
        <v>0</v>
      </c>
      <c r="L91" s="214"/>
      <c r="M91" s="441" t="s">
        <v>454</v>
      </c>
      <c r="N91" s="440" t="s">
        <v>452</v>
      </c>
      <c r="O91" s="211">
        <f>ROUNDUP('7990NTP-NP'!N40*0.3066,2)</f>
        <v>0</v>
      </c>
      <c r="P91" s="234"/>
      <c r="Q91" s="156" t="s">
        <v>454</v>
      </c>
      <c r="R91" s="151" t="s">
        <v>452</v>
      </c>
      <c r="S91" s="211">
        <f>ROUNDUP('7990NTP-NP'!O40*0.3066,2)</f>
        <v>0</v>
      </c>
      <c r="T91" s="234"/>
      <c r="U91" s="156" t="s">
        <v>454</v>
      </c>
      <c r="V91" s="151" t="s">
        <v>452</v>
      </c>
      <c r="W91" s="211">
        <f>ROUNDUP('7990NTP-NP'!P40*0.3066,2)</f>
        <v>0</v>
      </c>
      <c r="X91" s="234"/>
      <c r="Y91" s="156" t="s">
        <v>454</v>
      </c>
      <c r="Z91" s="151" t="s">
        <v>452</v>
      </c>
      <c r="AA91" s="211">
        <f>ROUNDUP('7990NTP-NP'!Q40*0.3066,2)</f>
        <v>0</v>
      </c>
      <c r="AB91" s="234"/>
      <c r="AC91" s="216">
        <f>IF(C91+G91+K91+O91+S91+W91+AA91&gt;0,C91+G91+K91+O91+S91+W91+AA91,0)</f>
        <v>0</v>
      </c>
      <c r="AD91" s="167"/>
    </row>
    <row r="92" spans="1:30" ht="14" x14ac:dyDescent="0.3">
      <c r="A92" s="209"/>
      <c r="B92" s="210"/>
      <c r="C92" s="230"/>
      <c r="D92" s="229"/>
      <c r="E92" s="209"/>
      <c r="F92" s="210"/>
      <c r="G92" s="217"/>
      <c r="H92" s="229"/>
      <c r="I92" s="226"/>
      <c r="J92" s="210"/>
      <c r="K92" s="217"/>
      <c r="L92" s="221"/>
      <c r="M92" s="449"/>
      <c r="N92" s="443"/>
      <c r="O92" s="217"/>
      <c r="P92" s="229"/>
      <c r="Q92" s="209"/>
      <c r="R92" s="210"/>
      <c r="S92" s="217"/>
      <c r="T92" s="229"/>
      <c r="U92" s="209"/>
      <c r="V92" s="210"/>
      <c r="W92" s="217"/>
      <c r="X92" s="229"/>
      <c r="Y92" s="209"/>
      <c r="Z92" s="210"/>
      <c r="AA92" s="217"/>
      <c r="AB92" s="229"/>
      <c r="AC92" s="216"/>
      <c r="AD92" s="167"/>
    </row>
    <row r="93" spans="1:30" ht="88" x14ac:dyDescent="0.3">
      <c r="A93" s="134" t="s">
        <v>229</v>
      </c>
      <c r="B93" s="123" t="s">
        <v>319</v>
      </c>
      <c r="C93" s="228">
        <f>ROUNDDOWN('7990NTP-NP'!$K$41-('7990NTP-NP'!$K$41*0.1916),2)</f>
        <v>0</v>
      </c>
      <c r="D93" s="224">
        <f>'7990NTP-NP'!C41</f>
        <v>0</v>
      </c>
      <c r="E93" s="156" t="s">
        <v>229</v>
      </c>
      <c r="F93" s="151" t="s">
        <v>486</v>
      </c>
      <c r="G93" s="211">
        <f>ROUNDDOWN('7990NTP-NP'!$L$41-('7990NTP-NP'!$L$41*0.1916),2)</f>
        <v>0</v>
      </c>
      <c r="H93" s="224">
        <f>'7990NTP-NP'!D41</f>
        <v>0</v>
      </c>
      <c r="I93" s="144" t="s">
        <v>229</v>
      </c>
      <c r="J93" s="123" t="s">
        <v>537</v>
      </c>
      <c r="K93" s="211">
        <f>ROUNDDOWN('7990NTP-NP'!$M$41-('7990NTP-NP'!$M$41*0.1916),2)</f>
        <v>0</v>
      </c>
      <c r="L93" s="233">
        <f>'7990NTP-NP'!E41</f>
        <v>0</v>
      </c>
      <c r="M93" s="441" t="s">
        <v>229</v>
      </c>
      <c r="N93" s="440" t="s">
        <v>581</v>
      </c>
      <c r="O93" s="211">
        <f>ROUNDDOWN('7990NTP-NP'!$N$41-('7990NTP-NP'!$N$41*0.1916),2)</f>
        <v>0</v>
      </c>
      <c r="P93" s="224">
        <f>'7990NTP-NP'!F41</f>
        <v>0</v>
      </c>
      <c r="Q93" s="156" t="s">
        <v>229</v>
      </c>
      <c r="R93" s="151" t="s">
        <v>599</v>
      </c>
      <c r="S93" s="211">
        <f>ROUNDDOWN('7990NTP-NP'!$O$41-('7990NTP-NP'!$O$41*0.1916),2)</f>
        <v>0</v>
      </c>
      <c r="T93" s="224">
        <f>'7990NTP-NP'!G41</f>
        <v>0</v>
      </c>
      <c r="U93" s="156" t="s">
        <v>229</v>
      </c>
      <c r="V93" s="151" t="s">
        <v>617</v>
      </c>
      <c r="W93" s="211">
        <f>ROUNDDOWN('7990NTP-NP'!P$41-('7990NTP-NP'!$P$41*0.1916),2)</f>
        <v>0</v>
      </c>
      <c r="X93" s="224">
        <f>'7990NTP-NP'!H41</f>
        <v>0</v>
      </c>
      <c r="Y93" s="156" t="s">
        <v>229</v>
      </c>
      <c r="Z93" s="151" t="s">
        <v>635</v>
      </c>
      <c r="AA93" s="211">
        <f>ROUNDDOWN('7990NTP-NP'!Q$41-('7990NTP-NP'!$Q$41*0.1916),2)</f>
        <v>0</v>
      </c>
      <c r="AB93" s="224">
        <f>'7990NTP-NP'!I41</f>
        <v>0</v>
      </c>
      <c r="AC93" s="216">
        <f>IF(C93+G93+K93+O93+S93+W93+AA93&gt;0,C93+G93+K93+O93+S93+W93+AA93,0)</f>
        <v>0</v>
      </c>
      <c r="AD93" s="167"/>
    </row>
    <row r="94" spans="1:30" ht="88" x14ac:dyDescent="0.3">
      <c r="A94" s="134" t="s">
        <v>231</v>
      </c>
      <c r="B94" s="123" t="s">
        <v>399</v>
      </c>
      <c r="C94" s="228">
        <f>ROUNDUP('7990NTP-NP'!$K$41*0.1916,2)</f>
        <v>0</v>
      </c>
      <c r="D94" s="234"/>
      <c r="E94" s="156" t="s">
        <v>231</v>
      </c>
      <c r="F94" s="151" t="s">
        <v>487</v>
      </c>
      <c r="G94" s="211">
        <f>ROUNDUP('7990NTP-NP'!$L$41*0.1916,2)</f>
        <v>0</v>
      </c>
      <c r="H94" s="234"/>
      <c r="I94" s="144" t="s">
        <v>231</v>
      </c>
      <c r="J94" s="123" t="s">
        <v>538</v>
      </c>
      <c r="K94" s="211">
        <f>ROUNDUP('7990NTP-NP'!$M$41*0.1916,2)</f>
        <v>0</v>
      </c>
      <c r="L94" s="214"/>
      <c r="M94" s="441" t="s">
        <v>231</v>
      </c>
      <c r="N94" s="440" t="s">
        <v>582</v>
      </c>
      <c r="O94" s="211">
        <f>ROUNDUP('7990NTP-NP'!$N$41*0.1916,2)</f>
        <v>0</v>
      </c>
      <c r="P94" s="234"/>
      <c r="Q94" s="156" t="s">
        <v>231</v>
      </c>
      <c r="R94" s="151" t="s">
        <v>600</v>
      </c>
      <c r="S94" s="211">
        <f>ROUNDUP('7990NTP-NP'!$O$41*0.1916,2)</f>
        <v>0</v>
      </c>
      <c r="T94" s="234"/>
      <c r="U94" s="156" t="s">
        <v>231</v>
      </c>
      <c r="V94" s="151" t="s">
        <v>618</v>
      </c>
      <c r="W94" s="211">
        <f>ROUNDUP('7990NTP-NP'!$P$41*0.1916,2)</f>
        <v>0</v>
      </c>
      <c r="X94" s="234"/>
      <c r="Y94" s="156" t="s">
        <v>231</v>
      </c>
      <c r="Z94" s="151" t="s">
        <v>636</v>
      </c>
      <c r="AA94" s="211">
        <f>ROUNDUP('7990NTP-NP'!$Q$41*0.1916,2)</f>
        <v>0</v>
      </c>
      <c r="AB94" s="234"/>
      <c r="AC94" s="216">
        <f>IF(C94+G94+K94+O94+S94+W94+AA94&gt;0,C94+G94+K94+O94+S94+W94+AA94,0)</f>
        <v>0</v>
      </c>
      <c r="AD94" s="167"/>
    </row>
    <row r="95" spans="1:30" ht="14" x14ac:dyDescent="0.3">
      <c r="A95" s="209"/>
      <c r="B95" s="210"/>
      <c r="C95" s="230"/>
      <c r="D95" s="229"/>
      <c r="E95" s="209"/>
      <c r="F95" s="210"/>
      <c r="G95" s="217"/>
      <c r="H95" s="229"/>
      <c r="I95" s="226"/>
      <c r="J95" s="210"/>
      <c r="K95" s="217"/>
      <c r="L95" s="221"/>
      <c r="M95" s="449"/>
      <c r="N95" s="443"/>
      <c r="O95" s="217"/>
      <c r="P95" s="229"/>
      <c r="Q95" s="209"/>
      <c r="R95" s="210"/>
      <c r="S95" s="217"/>
      <c r="T95" s="229"/>
      <c r="U95" s="209"/>
      <c r="V95" s="210"/>
      <c r="W95" s="217"/>
      <c r="X95" s="229"/>
      <c r="Y95" s="209"/>
      <c r="Z95" s="210"/>
      <c r="AA95" s="217"/>
      <c r="AB95" s="229"/>
      <c r="AC95" s="216"/>
      <c r="AD95" s="167"/>
    </row>
    <row r="96" spans="1:30" ht="81.5" customHeight="1" x14ac:dyDescent="0.3">
      <c r="A96" s="135" t="s">
        <v>375</v>
      </c>
      <c r="B96" s="123" t="s">
        <v>188</v>
      </c>
      <c r="C96" s="228">
        <f>ROUNDDOWN('7990NTP-NP'!$K$42-('7990NTP-NP'!$K$42*0.438),2)</f>
        <v>0</v>
      </c>
      <c r="D96" s="224">
        <f>'7990NTP-NP'!C42</f>
        <v>0</v>
      </c>
      <c r="E96" s="157" t="s">
        <v>375</v>
      </c>
      <c r="F96" s="151" t="s">
        <v>488</v>
      </c>
      <c r="G96" s="211">
        <f>ROUNDDOWN('7990NTP-NP'!$L$42-('7990NTP-NP'!$L$42*0.438),2)</f>
        <v>0</v>
      </c>
      <c r="H96" s="224">
        <f>'7990NTP-NP'!D42</f>
        <v>0</v>
      </c>
      <c r="I96" s="145" t="s">
        <v>375</v>
      </c>
      <c r="J96" s="123" t="s">
        <v>539</v>
      </c>
      <c r="K96" s="211">
        <f>ROUNDDOWN('7990NTP-NP'!$M$42-('7990NTP-NP'!$M$42*0.438),2)</f>
        <v>0</v>
      </c>
      <c r="L96" s="233">
        <f>'7990NTP-NP'!E42</f>
        <v>0</v>
      </c>
      <c r="M96" s="441" t="s">
        <v>662</v>
      </c>
      <c r="N96" s="440" t="s">
        <v>188</v>
      </c>
      <c r="O96" s="211">
        <f>ROUNDDOWN('7990NTP-NP'!$N$42-('7990NTP-NP'!$N$42*0.438),2)</f>
        <v>0</v>
      </c>
      <c r="P96" s="224">
        <f>'7990NTP-NP'!F42</f>
        <v>0</v>
      </c>
      <c r="Q96" s="441" t="s">
        <v>662</v>
      </c>
      <c r="R96" s="440" t="s">
        <v>188</v>
      </c>
      <c r="S96" s="211">
        <f>ROUNDDOWN('7990NTP-NP'!$O$42-('7990NTP-NP'!$O$42*0.438),2)</f>
        <v>0</v>
      </c>
      <c r="T96" s="224">
        <f>'7990NTP-NP'!G42</f>
        <v>0</v>
      </c>
      <c r="U96" s="441" t="s">
        <v>662</v>
      </c>
      <c r="V96" s="440" t="s">
        <v>188</v>
      </c>
      <c r="W96" s="211">
        <f>ROUNDDOWN('7990NTP-NP'!$P$42-('7990NTP-NP'!$P$42*0.438),2)</f>
        <v>0</v>
      </c>
      <c r="X96" s="224">
        <f>'7990NTP-NP'!H42</f>
        <v>0</v>
      </c>
      <c r="Y96" s="441" t="s">
        <v>662</v>
      </c>
      <c r="Z96" s="440" t="s">
        <v>188</v>
      </c>
      <c r="AA96" s="211">
        <f>ROUNDDOWN('7990NTP-NP'!$Q$42-('7990NTP-NP'!$Q$42*0.438),2)</f>
        <v>0</v>
      </c>
      <c r="AB96" s="224">
        <f>'7990NTP-NP'!I42</f>
        <v>0</v>
      </c>
      <c r="AC96" s="216">
        <f>IF(C96+G96+K96+O96+S96+W96+AA96&gt;0,C96+G96+K96+O96+S96+W96+AA96,0)</f>
        <v>0</v>
      </c>
      <c r="AD96" s="167"/>
    </row>
    <row r="97" spans="1:30" ht="63" x14ac:dyDescent="0.3">
      <c r="A97" s="135" t="s">
        <v>376</v>
      </c>
      <c r="B97" s="123" t="s">
        <v>377</v>
      </c>
      <c r="C97" s="228">
        <f>ROUNDUP('7990NTP-NP'!$K$42*0.438,2)</f>
        <v>0</v>
      </c>
      <c r="D97" s="229"/>
      <c r="E97" s="157" t="s">
        <v>376</v>
      </c>
      <c r="F97" s="151" t="s">
        <v>489</v>
      </c>
      <c r="G97" s="211">
        <f>ROUNDUP('7990NTP-NP'!$L$42*0.438,2)</f>
        <v>0</v>
      </c>
      <c r="H97" s="229"/>
      <c r="I97" s="145" t="s">
        <v>376</v>
      </c>
      <c r="J97" s="123" t="s">
        <v>540</v>
      </c>
      <c r="K97" s="211">
        <f>ROUNDUP('7990NTP-NP'!$M$42*0.438,2)</f>
        <v>0</v>
      </c>
      <c r="L97" s="221"/>
      <c r="M97" s="441" t="s">
        <v>663</v>
      </c>
      <c r="N97" s="440" t="s">
        <v>664</v>
      </c>
      <c r="O97" s="211">
        <f>ROUNDUP('7990NTP-NP'!$N$42*0.438,2)</f>
        <v>0</v>
      </c>
      <c r="P97" s="229"/>
      <c r="Q97" s="441" t="s">
        <v>663</v>
      </c>
      <c r="R97" s="440" t="s">
        <v>664</v>
      </c>
      <c r="S97" s="211">
        <f>ROUNDUP('7990NTP-NP'!$O$42*0.438,2)</f>
        <v>0</v>
      </c>
      <c r="T97" s="229"/>
      <c r="U97" s="441" t="s">
        <v>663</v>
      </c>
      <c r="V97" s="440" t="s">
        <v>664</v>
      </c>
      <c r="W97" s="211">
        <f>ROUNDUP('7990NTP-NP'!$P$42*0.438,2)</f>
        <v>0</v>
      </c>
      <c r="X97" s="229"/>
      <c r="Y97" s="441" t="s">
        <v>663</v>
      </c>
      <c r="Z97" s="440" t="s">
        <v>664</v>
      </c>
      <c r="AA97" s="211">
        <f>ROUNDUP('7990NTP-NP'!$Q$42*0.438,2)</f>
        <v>0</v>
      </c>
      <c r="AB97" s="229"/>
      <c r="AC97" s="216">
        <f>IF(C97+G97+K97+O97+S97+W97+AA97&gt;0,C97+G97+K97+O97+S97+W97+AA97,0)</f>
        <v>0</v>
      </c>
      <c r="AD97" s="167"/>
    </row>
    <row r="98" spans="1:30" ht="14" x14ac:dyDescent="0.3">
      <c r="A98" s="209"/>
      <c r="B98" s="210"/>
      <c r="C98" s="230"/>
      <c r="D98" s="229"/>
      <c r="E98" s="209"/>
      <c r="F98" s="210"/>
      <c r="G98" s="217"/>
      <c r="H98" s="229"/>
      <c r="I98" s="226"/>
      <c r="J98" s="210"/>
      <c r="K98" s="217"/>
      <c r="L98" s="221"/>
      <c r="M98" s="449"/>
      <c r="N98" s="443"/>
      <c r="O98" s="217"/>
      <c r="P98" s="229"/>
      <c r="Q98" s="209"/>
      <c r="R98" s="210"/>
      <c r="S98" s="217"/>
      <c r="T98" s="229"/>
      <c r="U98" s="209"/>
      <c r="V98" s="210"/>
      <c r="W98" s="217"/>
      <c r="X98" s="229"/>
      <c r="Y98" s="209"/>
      <c r="Z98" s="210"/>
      <c r="AA98" s="217"/>
      <c r="AB98" s="229"/>
      <c r="AC98" s="216"/>
      <c r="AD98" s="167"/>
    </row>
    <row r="99" spans="1:30" ht="63" x14ac:dyDescent="0.3">
      <c r="A99" s="135" t="s">
        <v>109</v>
      </c>
      <c r="B99" s="123" t="s">
        <v>110</v>
      </c>
      <c r="C99" s="228">
        <f>SUM('7990NTP-NP'!K43*1)</f>
        <v>0</v>
      </c>
      <c r="D99" s="224">
        <f>'7990NTP-NP'!C43</f>
        <v>0</v>
      </c>
      <c r="E99" s="157" t="s">
        <v>109</v>
      </c>
      <c r="F99" s="151" t="s">
        <v>490</v>
      </c>
      <c r="G99" s="211">
        <f>SUM('7990NTP-NP'!L43*1)</f>
        <v>0</v>
      </c>
      <c r="H99" s="224">
        <f>'7990NTP-NP'!D43</f>
        <v>0</v>
      </c>
      <c r="I99" s="145" t="s">
        <v>109</v>
      </c>
      <c r="J99" s="123" t="s">
        <v>541</v>
      </c>
      <c r="K99" s="211">
        <f>SUM('7990NTP-NP'!M43*1)</f>
        <v>0</v>
      </c>
      <c r="L99" s="233">
        <f>'7990NTP-NP'!E43</f>
        <v>0</v>
      </c>
      <c r="M99" s="441" t="s">
        <v>332</v>
      </c>
      <c r="N99" s="440" t="s">
        <v>333</v>
      </c>
      <c r="O99" s="211">
        <f>SUM('7990NTP-NP'!N43*1)</f>
        <v>0</v>
      </c>
      <c r="P99" s="224">
        <f>'7990NTP-NP'!F43</f>
        <v>0</v>
      </c>
      <c r="Q99" s="441" t="s">
        <v>332</v>
      </c>
      <c r="R99" s="440" t="s">
        <v>333</v>
      </c>
      <c r="S99" s="211">
        <f>SUM('7990NTP-NP'!O43*1)</f>
        <v>0</v>
      </c>
      <c r="T99" s="224">
        <f>'7990NTP-NP'!G43</f>
        <v>0</v>
      </c>
      <c r="U99" s="441" t="s">
        <v>332</v>
      </c>
      <c r="V99" s="440" t="s">
        <v>333</v>
      </c>
      <c r="W99" s="211">
        <f>SUM('7990NTP-NP'!P43*1)</f>
        <v>0</v>
      </c>
      <c r="X99" s="224">
        <f>'7990NTP-NP'!H43</f>
        <v>0</v>
      </c>
      <c r="Y99" s="441" t="s">
        <v>332</v>
      </c>
      <c r="Z99" s="440" t="s">
        <v>333</v>
      </c>
      <c r="AA99" s="211">
        <f>SUM('7990NTP-NP'!Q43*1)</f>
        <v>0</v>
      </c>
      <c r="AB99" s="224">
        <f>'7990NTP-NP'!I43</f>
        <v>0</v>
      </c>
      <c r="AC99" s="216">
        <f>IF(C99+G99+K99+O99+S99+W99+AA99&gt;0,C99+G99+K99+O99+S99+W99+AA99,0)</f>
        <v>0</v>
      </c>
      <c r="AD99" s="167"/>
    </row>
    <row r="100" spans="1:30" ht="14" x14ac:dyDescent="0.3">
      <c r="A100" s="226"/>
      <c r="B100" s="210"/>
      <c r="C100" s="230"/>
      <c r="D100" s="229"/>
      <c r="E100" s="209"/>
      <c r="F100" s="210"/>
      <c r="G100" s="217"/>
      <c r="H100" s="229"/>
      <c r="I100" s="226"/>
      <c r="J100" s="210"/>
      <c r="K100" s="217"/>
      <c r="L100" s="232"/>
      <c r="M100" s="449"/>
      <c r="N100" s="443"/>
      <c r="O100" s="217"/>
      <c r="P100" s="229"/>
      <c r="Q100" s="209"/>
      <c r="R100" s="210"/>
      <c r="S100" s="217"/>
      <c r="T100" s="229"/>
      <c r="U100" s="209"/>
      <c r="V100" s="210"/>
      <c r="W100" s="217"/>
      <c r="X100" s="229"/>
      <c r="Y100" s="209"/>
      <c r="Z100" s="210"/>
      <c r="AA100" s="217"/>
      <c r="AB100" s="229"/>
      <c r="AC100" s="216"/>
      <c r="AD100" s="167"/>
    </row>
    <row r="101" spans="1:30" ht="63" x14ac:dyDescent="0.3">
      <c r="A101" s="135" t="s">
        <v>378</v>
      </c>
      <c r="B101" s="123" t="s">
        <v>420</v>
      </c>
      <c r="C101" s="228">
        <f>ROUNDDOWN('7990NTP-NP'!$K$44-('7990NTP-NP'!K$44*0.235),2)</f>
        <v>0</v>
      </c>
      <c r="D101" s="224">
        <f>'7990NTP-NP'!C44</f>
        <v>0</v>
      </c>
      <c r="E101" s="157" t="s">
        <v>378</v>
      </c>
      <c r="F101" s="151" t="s">
        <v>491</v>
      </c>
      <c r="G101" s="211">
        <f>ROUNDDOWN('7990NTP-NP'!$L$44-('7990NTP-NP'!L$44*0.235),2)</f>
        <v>0</v>
      </c>
      <c r="H101" s="224">
        <f>'7990NTP-NP'!D44</f>
        <v>0</v>
      </c>
      <c r="I101" s="145" t="s">
        <v>378</v>
      </c>
      <c r="J101" s="123" t="s">
        <v>542</v>
      </c>
      <c r="K101" s="211">
        <f>ROUNDDOWN('7990NTP-NP'!$M$44-('7990NTP-NP'!M$44*0.235),2)</f>
        <v>0</v>
      </c>
      <c r="L101" s="233">
        <f>'7990NTP-NP'!E44</f>
        <v>0</v>
      </c>
      <c r="M101" s="441" t="s">
        <v>233</v>
      </c>
      <c r="N101" s="440" t="s">
        <v>420</v>
      </c>
      <c r="O101" s="211">
        <f>ROUNDDOWN('7990NTP-NP'!$N$44-('7990NTP-NP'!N$44*0.235),2)</f>
        <v>0</v>
      </c>
      <c r="P101" s="224">
        <f>'7990NTP-NP'!F44</f>
        <v>0</v>
      </c>
      <c r="Q101" s="441" t="s">
        <v>233</v>
      </c>
      <c r="R101" s="440" t="s">
        <v>420</v>
      </c>
      <c r="S101" s="211">
        <f>ROUNDDOWN('7990NTP-NP'!$O$44-('7990NTP-NP'!O$44*0.235),2)</f>
        <v>0</v>
      </c>
      <c r="T101" s="224">
        <f>'7990NTP-NP'!G44</f>
        <v>0</v>
      </c>
      <c r="U101" s="441" t="s">
        <v>233</v>
      </c>
      <c r="V101" s="440" t="s">
        <v>420</v>
      </c>
      <c r="W101" s="211">
        <f>ROUNDDOWN('7990NTP-NP'!$P$44-('7990NTP-NP'!P$44*0.235),2)</f>
        <v>0</v>
      </c>
      <c r="X101" s="224">
        <f>'7990NTP-NP'!H44</f>
        <v>0</v>
      </c>
      <c r="Y101" s="441" t="s">
        <v>233</v>
      </c>
      <c r="Z101" s="440" t="s">
        <v>420</v>
      </c>
      <c r="AA101" s="211">
        <f>ROUNDDOWN('7990NTP-NP'!$Q$44-('7990NTP-NP'!Q$44*0.235),2)</f>
        <v>0</v>
      </c>
      <c r="AB101" s="224">
        <f>'7990NTP-NP'!I44</f>
        <v>0</v>
      </c>
      <c r="AC101" s="216">
        <f>IF(C101+G101+K101+O101+S101+W101+AA101&gt;0,C101+G101+K101+O101+S101+W101+AA101,0)</f>
        <v>0</v>
      </c>
      <c r="AD101" s="167"/>
    </row>
    <row r="102" spans="1:30" ht="63" x14ac:dyDescent="0.3">
      <c r="A102" s="135" t="s">
        <v>379</v>
      </c>
      <c r="B102" s="123" t="s">
        <v>455</v>
      </c>
      <c r="C102" s="228">
        <f>ROUNDUP('7990NTP-NP'!$K$44*0.235,2)</f>
        <v>0</v>
      </c>
      <c r="D102" s="229"/>
      <c r="E102" s="157" t="s">
        <v>379</v>
      </c>
      <c r="F102" s="151" t="s">
        <v>492</v>
      </c>
      <c r="G102" s="211">
        <f>ROUNDUP('7990NTP-NP'!$L$44*0.235,2)</f>
        <v>0</v>
      </c>
      <c r="H102" s="229"/>
      <c r="I102" s="145" t="s">
        <v>379</v>
      </c>
      <c r="J102" s="123" t="s">
        <v>543</v>
      </c>
      <c r="K102" s="211">
        <f>ROUNDUP('7990NTP-NP'!$M$44*0.235,2)</f>
        <v>0</v>
      </c>
      <c r="L102" s="221"/>
      <c r="M102" s="441" t="s">
        <v>235</v>
      </c>
      <c r="N102" s="440" t="s">
        <v>665</v>
      </c>
      <c r="O102" s="211">
        <f>ROUNDUP('7990NTP-NP'!$N$44*0.235,2)</f>
        <v>0</v>
      </c>
      <c r="P102" s="229"/>
      <c r="Q102" s="441" t="s">
        <v>235</v>
      </c>
      <c r="R102" s="440" t="s">
        <v>665</v>
      </c>
      <c r="S102" s="211">
        <f>ROUNDUP('7990NTP-NP'!$O$44*0.235,2)</f>
        <v>0</v>
      </c>
      <c r="T102" s="229"/>
      <c r="U102" s="441" t="s">
        <v>235</v>
      </c>
      <c r="V102" s="440" t="s">
        <v>665</v>
      </c>
      <c r="W102" s="211">
        <f>ROUNDUP('7990NTP-NP'!$P$44*0.235,2)</f>
        <v>0</v>
      </c>
      <c r="X102" s="229"/>
      <c r="Y102" s="441" t="s">
        <v>235</v>
      </c>
      <c r="Z102" s="440" t="s">
        <v>665</v>
      </c>
      <c r="AA102" s="211">
        <f>ROUNDUP('7990NTP-NP'!$Q$44*0.235,2)</f>
        <v>0</v>
      </c>
      <c r="AB102" s="229"/>
      <c r="AC102" s="216">
        <f>IF(C102+G102+K102+O102+S102+W102+AA102&gt;0,C102+G102+K102+O102+S102+W102+AA102,0)</f>
        <v>0</v>
      </c>
      <c r="AD102" s="167"/>
    </row>
    <row r="103" spans="1:30" ht="14" x14ac:dyDescent="0.3">
      <c r="A103" s="209"/>
      <c r="B103" s="210"/>
      <c r="C103" s="230"/>
      <c r="D103" s="229"/>
      <c r="E103" s="209"/>
      <c r="F103" s="210"/>
      <c r="G103" s="217"/>
      <c r="H103" s="229"/>
      <c r="I103" s="226"/>
      <c r="J103" s="210"/>
      <c r="K103" s="217"/>
      <c r="L103" s="221"/>
      <c r="M103" s="449"/>
      <c r="N103" s="443"/>
      <c r="O103" s="217"/>
      <c r="P103" s="229"/>
      <c r="Q103" s="209"/>
      <c r="R103" s="210"/>
      <c r="S103" s="217"/>
      <c r="T103" s="229"/>
      <c r="U103" s="209"/>
      <c r="V103" s="210"/>
      <c r="W103" s="217"/>
      <c r="X103" s="229"/>
      <c r="Y103" s="209"/>
      <c r="Z103" s="210"/>
      <c r="AA103" s="217"/>
      <c r="AB103" s="229"/>
      <c r="AC103" s="216"/>
      <c r="AD103" s="167"/>
    </row>
    <row r="104" spans="1:30" ht="76.5" customHeight="1" x14ac:dyDescent="0.3">
      <c r="A104" s="135" t="s">
        <v>458</v>
      </c>
      <c r="B104" s="123" t="s">
        <v>456</v>
      </c>
      <c r="C104" s="228">
        <f>ROUNDDOWN('7990NTP-NP'!K45-('7990NTP-NP'!K45*0.3066),2)</f>
        <v>0</v>
      </c>
      <c r="D104" s="224">
        <f>'7990NTP-NP'!C45</f>
        <v>0</v>
      </c>
      <c r="E104" s="157" t="s">
        <v>458</v>
      </c>
      <c r="F104" s="151" t="s">
        <v>493</v>
      </c>
      <c r="G104" s="211">
        <f>ROUNDDOWN('7990NTP-NP'!L45-('7990NTP-NP'!L45*0.3066),2)</f>
        <v>0</v>
      </c>
      <c r="H104" s="224">
        <f>'7990NTP-NP'!D45</f>
        <v>0</v>
      </c>
      <c r="I104" s="145" t="s">
        <v>458</v>
      </c>
      <c r="J104" s="123" t="s">
        <v>544</v>
      </c>
      <c r="K104" s="211">
        <f>ROUNDDOWN('7990NTP-NP'!M45-('7990NTP-NP'!M45*0.3066),2)</f>
        <v>0</v>
      </c>
      <c r="L104" s="233">
        <f>'7990NTP-NP'!E45</f>
        <v>0</v>
      </c>
      <c r="M104" s="441" t="s">
        <v>666</v>
      </c>
      <c r="N104" s="440" t="s">
        <v>456</v>
      </c>
      <c r="O104" s="211">
        <f>ROUNDDOWN('7990NTP-NP'!N45-('7990NTP-NP'!N45*0.3066),2)</f>
        <v>0</v>
      </c>
      <c r="P104" s="224">
        <f>'7990NTP-NP'!F45</f>
        <v>0</v>
      </c>
      <c r="Q104" s="441" t="s">
        <v>666</v>
      </c>
      <c r="R104" s="440" t="s">
        <v>456</v>
      </c>
      <c r="S104" s="211">
        <f>ROUNDDOWN('7990NTP-NP'!O45-('7990NTP-NP'!O45*0.3066),2)</f>
        <v>0</v>
      </c>
      <c r="T104" s="224">
        <f>'7990NTP-NP'!G45</f>
        <v>0</v>
      </c>
      <c r="U104" s="441" t="s">
        <v>666</v>
      </c>
      <c r="V104" s="440" t="s">
        <v>456</v>
      </c>
      <c r="W104" s="211">
        <f>ROUNDDOWN('7990NTP-NP'!P45-('7990NTP-NP'!P45*0.3066),2)</f>
        <v>0</v>
      </c>
      <c r="X104" s="224">
        <f>'7990NTP-NP'!H45</f>
        <v>0</v>
      </c>
      <c r="Y104" s="441" t="s">
        <v>666</v>
      </c>
      <c r="Z104" s="440" t="s">
        <v>456</v>
      </c>
      <c r="AA104" s="211">
        <f>ROUNDDOWN('7990NTP-NP'!Q45-('7990NTP-NP'!Q45*0.3066),2)</f>
        <v>0</v>
      </c>
      <c r="AB104" s="224">
        <f>'7990NTP-NP'!I45</f>
        <v>0</v>
      </c>
      <c r="AC104" s="216">
        <f>IF(C104+G104+K104+O104+S104+W104+AA104&gt;0,C104+G104+K104+O104+S104+W104+AA104,0)</f>
        <v>0</v>
      </c>
      <c r="AD104" s="167"/>
    </row>
    <row r="105" spans="1:30" ht="79" customHeight="1" x14ac:dyDescent="0.3">
      <c r="A105" s="135" t="s">
        <v>459</v>
      </c>
      <c r="B105" s="123" t="s">
        <v>457</v>
      </c>
      <c r="C105" s="228">
        <f>ROUNDUP('7990NTP-NP'!K45*0.3066,2)</f>
        <v>0</v>
      </c>
      <c r="D105" s="234"/>
      <c r="E105" s="157" t="s">
        <v>459</v>
      </c>
      <c r="F105" s="151" t="s">
        <v>494</v>
      </c>
      <c r="G105" s="211">
        <f>ROUNDUP('7990NTP-NP'!L45*0.3066,2)</f>
        <v>0</v>
      </c>
      <c r="H105" s="234"/>
      <c r="I105" s="145" t="s">
        <v>459</v>
      </c>
      <c r="J105" s="123" t="s">
        <v>545</v>
      </c>
      <c r="K105" s="211">
        <f>ROUNDUP('7990NTP-NP'!M45*0.3066,2)</f>
        <v>0</v>
      </c>
      <c r="L105" s="214"/>
      <c r="M105" s="441" t="s">
        <v>667</v>
      </c>
      <c r="N105" s="440" t="s">
        <v>668</v>
      </c>
      <c r="O105" s="211">
        <f>ROUNDUP('7990NTP-NP'!N45*0.3066,2)</f>
        <v>0</v>
      </c>
      <c r="P105" s="234"/>
      <c r="Q105" s="441" t="s">
        <v>667</v>
      </c>
      <c r="R105" s="440" t="s">
        <v>668</v>
      </c>
      <c r="S105" s="211">
        <f>ROUNDUP('7990NTP-NP'!O45*0.3066,2)</f>
        <v>0</v>
      </c>
      <c r="T105" s="234"/>
      <c r="U105" s="441" t="s">
        <v>667</v>
      </c>
      <c r="V105" s="440" t="s">
        <v>668</v>
      </c>
      <c r="W105" s="211">
        <f>ROUNDUP('7990NTP-NP'!P45*0.3066,2)</f>
        <v>0</v>
      </c>
      <c r="X105" s="234"/>
      <c r="Y105" s="441" t="s">
        <v>667</v>
      </c>
      <c r="Z105" s="440" t="s">
        <v>668</v>
      </c>
      <c r="AA105" s="211">
        <f>ROUNDUP('7990NTP-NP'!Q45*0.3066,2)</f>
        <v>0</v>
      </c>
      <c r="AB105" s="234"/>
      <c r="AC105" s="216">
        <f>IF(C105+G105+K105+O105+S105+W105+AA105&gt;0,C105+G105+K105+O105+S105+W105+AA105,0)</f>
        <v>0</v>
      </c>
      <c r="AD105" s="167"/>
    </row>
    <row r="106" spans="1:30" ht="14" x14ac:dyDescent="0.3">
      <c r="A106" s="209"/>
      <c r="B106" s="210"/>
      <c r="C106" s="230"/>
      <c r="D106" s="229"/>
      <c r="E106" s="209"/>
      <c r="F106" s="210"/>
      <c r="G106" s="217"/>
      <c r="H106" s="229"/>
      <c r="I106" s="226"/>
      <c r="J106" s="210"/>
      <c r="K106" s="217"/>
      <c r="L106" s="221"/>
      <c r="M106" s="449"/>
      <c r="N106" s="443"/>
      <c r="O106" s="217"/>
      <c r="P106" s="229"/>
      <c r="Q106" s="209"/>
      <c r="R106" s="210"/>
      <c r="S106" s="217"/>
      <c r="T106" s="229"/>
      <c r="U106" s="209"/>
      <c r="V106" s="210"/>
      <c r="W106" s="217"/>
      <c r="X106" s="229"/>
      <c r="Y106" s="209"/>
      <c r="Z106" s="210"/>
      <c r="AA106" s="217"/>
      <c r="AB106" s="229"/>
      <c r="AC106" s="216"/>
      <c r="AD106" s="167"/>
    </row>
    <row r="107" spans="1:30" ht="80" customHeight="1" x14ac:dyDescent="0.3">
      <c r="A107" s="135" t="s">
        <v>381</v>
      </c>
      <c r="B107" s="123" t="s">
        <v>383</v>
      </c>
      <c r="C107" s="228">
        <f>ROUNDDOWN('7990NTP-NP'!$K$46-('7990NTP-NP'!$K$46*0.1916),2)</f>
        <v>0</v>
      </c>
      <c r="D107" s="224">
        <f>'7990NTP-NP'!C46</f>
        <v>0</v>
      </c>
      <c r="E107" s="157" t="s">
        <v>381</v>
      </c>
      <c r="F107" s="151" t="s">
        <v>495</v>
      </c>
      <c r="G107" s="211">
        <f>ROUNDDOWN('7990NTP-NP'!$L$46-('7990NTP-NP'!$L$46*0.1916),2)</f>
        <v>0</v>
      </c>
      <c r="H107" s="224">
        <f>'7990NTP-NP'!D46</f>
        <v>0</v>
      </c>
      <c r="I107" s="145" t="s">
        <v>381</v>
      </c>
      <c r="J107" s="123" t="s">
        <v>546</v>
      </c>
      <c r="K107" s="211">
        <f>ROUNDDOWN('7990NTP-NP'!$M$46-('7990NTP-NP'!$M$46*0.1916),2)</f>
        <v>0</v>
      </c>
      <c r="L107" s="233">
        <f>'7990NTP-NP'!E46</f>
        <v>0</v>
      </c>
      <c r="M107" s="441" t="s">
        <v>237</v>
      </c>
      <c r="N107" s="440" t="s">
        <v>383</v>
      </c>
      <c r="O107" s="211">
        <f>ROUNDDOWN('7990NTP-NP'!$N$46-('7990NTP-NP'!$N$46*0.1916),2)</f>
        <v>0</v>
      </c>
      <c r="P107" s="224">
        <f>'7990NTP-NP'!F46</f>
        <v>0</v>
      </c>
      <c r="Q107" s="441" t="s">
        <v>237</v>
      </c>
      <c r="R107" s="440" t="s">
        <v>383</v>
      </c>
      <c r="S107" s="211">
        <f>ROUNDDOWN('7990NTP-NP'!$O$46-('7990NTP-NP'!$O$46*0.1916),2)</f>
        <v>0</v>
      </c>
      <c r="T107" s="224">
        <f>'7990NTP-NP'!G46</f>
        <v>0</v>
      </c>
      <c r="U107" s="441" t="s">
        <v>237</v>
      </c>
      <c r="V107" s="440" t="s">
        <v>383</v>
      </c>
      <c r="W107" s="211">
        <f>ROUNDDOWN('7990NTP-NP'!$P$46-('7990NTP-NP'!$P$46*0.1916),2)</f>
        <v>0</v>
      </c>
      <c r="X107" s="224">
        <f>'7990NTP-NP'!H46</f>
        <v>0</v>
      </c>
      <c r="Y107" s="441" t="s">
        <v>237</v>
      </c>
      <c r="Z107" s="440" t="s">
        <v>383</v>
      </c>
      <c r="AA107" s="211">
        <f>ROUNDDOWN('7990NTP-NP'!$Q$46-('7990NTP-NP'!$Q$46*0.1916),2)</f>
        <v>0</v>
      </c>
      <c r="AB107" s="224">
        <f>'7990NTP-NP'!I46</f>
        <v>0</v>
      </c>
      <c r="AC107" s="216">
        <f>IF(C107+G107+K107+O107+S107+W107+AA107&gt;0,C107+G107+K107+O107+S107+W107+AA107,0)</f>
        <v>0</v>
      </c>
      <c r="AD107" s="167"/>
    </row>
    <row r="108" spans="1:30" ht="81" customHeight="1" x14ac:dyDescent="0.3">
      <c r="A108" s="135" t="s">
        <v>382</v>
      </c>
      <c r="B108" s="123" t="s">
        <v>384</v>
      </c>
      <c r="C108" s="228">
        <f>ROUNDUP('7990NTP-NP'!$K$46*0.1916,2)</f>
        <v>0</v>
      </c>
      <c r="D108" s="229"/>
      <c r="E108" s="157" t="s">
        <v>382</v>
      </c>
      <c r="F108" s="151" t="s">
        <v>496</v>
      </c>
      <c r="G108" s="211">
        <f>ROUNDUP('7990NTP-NP'!$L$46*0.1916,2)</f>
        <v>0</v>
      </c>
      <c r="H108" s="229"/>
      <c r="I108" s="145" t="s">
        <v>382</v>
      </c>
      <c r="J108" s="123" t="s">
        <v>547</v>
      </c>
      <c r="K108" s="211">
        <f>ROUNDUP('7990NTP-NP'!$M$46*0.1916,2)</f>
        <v>0</v>
      </c>
      <c r="L108" s="221"/>
      <c r="M108" s="441" t="s">
        <v>239</v>
      </c>
      <c r="N108" s="440" t="s">
        <v>669</v>
      </c>
      <c r="O108" s="211">
        <f>ROUNDUP('7990NTP-NP'!$N$46*0.1916,2)</f>
        <v>0</v>
      </c>
      <c r="P108" s="229"/>
      <c r="Q108" s="441" t="s">
        <v>239</v>
      </c>
      <c r="R108" s="440" t="s">
        <v>669</v>
      </c>
      <c r="S108" s="211">
        <f>ROUNDUP('7990NTP-NP'!$O$46*0.1916,2)</f>
        <v>0</v>
      </c>
      <c r="T108" s="229"/>
      <c r="U108" s="441" t="s">
        <v>239</v>
      </c>
      <c r="V108" s="440" t="s">
        <v>669</v>
      </c>
      <c r="W108" s="211">
        <f>ROUNDUP('7990NTP-NP'!$P$46*0.1916,2)</f>
        <v>0</v>
      </c>
      <c r="X108" s="229"/>
      <c r="Y108" s="441" t="s">
        <v>239</v>
      </c>
      <c r="Z108" s="440" t="s">
        <v>669</v>
      </c>
      <c r="AA108" s="211">
        <f>ROUNDUP('7990NTP-NP'!$Q$46*0.1916,2)</f>
        <v>0</v>
      </c>
      <c r="AB108" s="229"/>
      <c r="AC108" s="216">
        <f>IF(C108+G108+K108+O108+S108+W108+AA108&gt;0,C108+G108+K108+O108+S108+W108+AA108,0)</f>
        <v>0</v>
      </c>
      <c r="AD108" s="167"/>
    </row>
    <row r="109" spans="1:30" ht="14" x14ac:dyDescent="0.3">
      <c r="A109" s="209"/>
      <c r="B109" s="210"/>
      <c r="C109" s="230"/>
      <c r="D109" s="229"/>
      <c r="E109" s="209"/>
      <c r="F109" s="210"/>
      <c r="G109" s="217"/>
      <c r="H109" s="229"/>
      <c r="I109" s="226"/>
      <c r="J109" s="210"/>
      <c r="K109" s="217"/>
      <c r="L109" s="221"/>
      <c r="M109" s="449"/>
      <c r="N109" s="443"/>
      <c r="O109" s="217"/>
      <c r="P109" s="229"/>
      <c r="Q109" s="209"/>
      <c r="R109" s="210"/>
      <c r="S109" s="217"/>
      <c r="T109" s="229"/>
      <c r="U109" s="209"/>
      <c r="V109" s="210"/>
      <c r="W109" s="217"/>
      <c r="X109" s="229"/>
      <c r="Y109" s="209"/>
      <c r="Z109" s="210"/>
      <c r="AA109" s="217"/>
      <c r="AB109" s="229"/>
      <c r="AC109" s="216"/>
      <c r="AD109" s="167"/>
    </row>
    <row r="110" spans="1:30" ht="75.5" x14ac:dyDescent="0.3">
      <c r="A110" s="135" t="s">
        <v>116</v>
      </c>
      <c r="B110" s="123" t="s">
        <v>460</v>
      </c>
      <c r="C110" s="228">
        <f>SUM('7990NTP-NP'!K47*1)</f>
        <v>0</v>
      </c>
      <c r="D110" s="224">
        <f>'7990NTP-NP'!C47</f>
        <v>0</v>
      </c>
      <c r="E110" s="157" t="s">
        <v>116</v>
      </c>
      <c r="F110" s="151" t="s">
        <v>497</v>
      </c>
      <c r="G110" s="211">
        <f>SUM('7990NTP-NP'!L47*1)</f>
        <v>0</v>
      </c>
      <c r="H110" s="224">
        <f>'7990NTP-NP'!D47</f>
        <v>0</v>
      </c>
      <c r="I110" s="145" t="s">
        <v>116</v>
      </c>
      <c r="J110" s="123" t="s">
        <v>548</v>
      </c>
      <c r="K110" s="211">
        <f>SUM('7990NTP-NP'!M47*1)</f>
        <v>0</v>
      </c>
      <c r="L110" s="233">
        <f>'7990NTP-NP'!E47</f>
        <v>0</v>
      </c>
      <c r="M110" s="441" t="s">
        <v>324</v>
      </c>
      <c r="N110" s="440" t="s">
        <v>325</v>
      </c>
      <c r="O110" s="211">
        <f>SUM('7990NTP-NP'!N47*1)</f>
        <v>0</v>
      </c>
      <c r="P110" s="224">
        <f>'7990NTP-NP'!F47</f>
        <v>0</v>
      </c>
      <c r="Q110" s="441" t="s">
        <v>324</v>
      </c>
      <c r="R110" s="440" t="s">
        <v>325</v>
      </c>
      <c r="S110" s="211">
        <f>SUM('7990NTP-NP'!O47*1)</f>
        <v>0</v>
      </c>
      <c r="T110" s="224">
        <f>'7990NTP-NP'!G47</f>
        <v>0</v>
      </c>
      <c r="U110" s="441" t="s">
        <v>324</v>
      </c>
      <c r="V110" s="440" t="s">
        <v>325</v>
      </c>
      <c r="W110" s="211">
        <f>SUM('7990NTP-NP'!P47*1)</f>
        <v>0</v>
      </c>
      <c r="X110" s="224">
        <f>'7990NTP-NP'!H47</f>
        <v>0</v>
      </c>
      <c r="Y110" s="441" t="s">
        <v>324</v>
      </c>
      <c r="Z110" s="440" t="s">
        <v>325</v>
      </c>
      <c r="AA110" s="211">
        <f>SUM('7990NTP-NP'!Q47*1)</f>
        <v>0</v>
      </c>
      <c r="AB110" s="224">
        <f>'7990NTP-NP'!I47</f>
        <v>0</v>
      </c>
      <c r="AC110" s="216">
        <f>IF(C110+G110+K110+O110+S110+W110+AA110&gt;0,C110+G110+K110+O110+S110+W110+AA110,0)</f>
        <v>0</v>
      </c>
      <c r="AD110" s="167"/>
    </row>
    <row r="111" spans="1:30" ht="14" x14ac:dyDescent="0.3">
      <c r="A111" s="226"/>
      <c r="B111" s="237"/>
      <c r="C111" s="230"/>
      <c r="D111" s="229"/>
      <c r="E111" s="209"/>
      <c r="F111" s="238"/>
      <c r="G111" s="217"/>
      <c r="H111" s="229"/>
      <c r="I111" s="226"/>
      <c r="J111" s="237"/>
      <c r="K111" s="217"/>
      <c r="L111" s="232"/>
      <c r="M111" s="449"/>
      <c r="N111" s="443"/>
      <c r="O111" s="217"/>
      <c r="P111" s="229"/>
      <c r="Q111" s="209"/>
      <c r="R111" s="238"/>
      <c r="S111" s="217"/>
      <c r="T111" s="229"/>
      <c r="U111" s="209"/>
      <c r="V111" s="238"/>
      <c r="W111" s="217"/>
      <c r="X111" s="229"/>
      <c r="Y111" s="209"/>
      <c r="Z111" s="238"/>
      <c r="AA111" s="217"/>
      <c r="AB111" s="229"/>
      <c r="AC111" s="216"/>
      <c r="AD111" s="167"/>
    </row>
    <row r="112" spans="1:30" ht="90.5" customHeight="1" x14ac:dyDescent="0.3">
      <c r="A112" s="134" t="s">
        <v>189</v>
      </c>
      <c r="B112" s="123" t="s">
        <v>190</v>
      </c>
      <c r="C112" s="228">
        <f>ROUNDDOWN('7990NTP-NP'!$K$48-('7990NTP-NP'!$K$48*0.438),2)</f>
        <v>0</v>
      </c>
      <c r="D112" s="224">
        <f>'7990NTP-NP'!C48</f>
        <v>0</v>
      </c>
      <c r="E112" s="156" t="s">
        <v>189</v>
      </c>
      <c r="F112" s="151" t="s">
        <v>498</v>
      </c>
      <c r="G112" s="211">
        <f>ROUNDDOWN('7990NTP-NP'!$L$48-('7990NTP-NP'!$L$48*0.438),2)</f>
        <v>0</v>
      </c>
      <c r="H112" s="224">
        <f>'7990NTP-NP'!D48</f>
        <v>0</v>
      </c>
      <c r="I112" s="144" t="s">
        <v>189</v>
      </c>
      <c r="J112" s="123" t="s">
        <v>549</v>
      </c>
      <c r="K112" s="211">
        <f>ROUNDDOWN('7990NTP-NP'!$M$48-('7990NTP-NP'!$M$48*0.438),2)</f>
        <v>0</v>
      </c>
      <c r="L112" s="233">
        <f>'7990NTP-NP'!E48</f>
        <v>0</v>
      </c>
      <c r="M112" s="441" t="s">
        <v>189</v>
      </c>
      <c r="N112" s="440" t="s">
        <v>583</v>
      </c>
      <c r="O112" s="211">
        <f>ROUNDDOWN('7990NTP-NP'!$N$48-('7990NTP-NP'!$N$48*0.438),2)</f>
        <v>0</v>
      </c>
      <c r="P112" s="224">
        <f>'7990NTP-NP'!F48</f>
        <v>0</v>
      </c>
      <c r="Q112" s="156" t="s">
        <v>189</v>
      </c>
      <c r="R112" s="151" t="s">
        <v>601</v>
      </c>
      <c r="S112" s="211">
        <f>ROUNDDOWN('7990NTP-NP'!$O$48-('7990NTP-NP'!$O$48*0.438),2)</f>
        <v>0</v>
      </c>
      <c r="T112" s="224">
        <f>'7990NTP-NP'!G48</f>
        <v>0</v>
      </c>
      <c r="U112" s="156" t="s">
        <v>189</v>
      </c>
      <c r="V112" s="151" t="s">
        <v>619</v>
      </c>
      <c r="W112" s="211">
        <f>ROUNDDOWN('7990NTP-NP'!$P$48-('7990NTP-NP'!$P$48*0.438),2)</f>
        <v>0</v>
      </c>
      <c r="X112" s="224">
        <f>'7990NTP-NP'!H48</f>
        <v>0</v>
      </c>
      <c r="Y112" s="156" t="s">
        <v>189</v>
      </c>
      <c r="Z112" s="151" t="s">
        <v>637</v>
      </c>
      <c r="AA112" s="211">
        <f>ROUNDDOWN('7990NTP-NP'!$Q$48-('7990NTP-NP'!$Q$48*0.438),2)</f>
        <v>0</v>
      </c>
      <c r="AB112" s="224">
        <f>'7990NTP-NP'!I48</f>
        <v>0</v>
      </c>
      <c r="AC112" s="216">
        <f>IF(C112+G112+K112+O112+S112+W112+AA112&gt;0,C112+G112+K112+O112+S112+W112+AA112,0)</f>
        <v>0</v>
      </c>
      <c r="AD112" s="167"/>
    </row>
    <row r="113" spans="1:30" ht="93.5" customHeight="1" x14ac:dyDescent="0.3">
      <c r="A113" s="134" t="s">
        <v>191</v>
      </c>
      <c r="B113" s="123" t="s">
        <v>192</v>
      </c>
      <c r="C113" s="228">
        <f>ROUNDUP('7990NTP-NP'!$K$48*0.438,2)</f>
        <v>0</v>
      </c>
      <c r="D113" s="229"/>
      <c r="E113" s="156" t="s">
        <v>191</v>
      </c>
      <c r="F113" s="151" t="s">
        <v>499</v>
      </c>
      <c r="G113" s="211">
        <f>ROUNDUP('7990NTP-NP'!$L$48*0.438,2)</f>
        <v>0</v>
      </c>
      <c r="H113" s="229"/>
      <c r="I113" s="144" t="s">
        <v>191</v>
      </c>
      <c r="J113" s="123" t="s">
        <v>550</v>
      </c>
      <c r="K113" s="211">
        <f>ROUNDUP('7990NTP-NP'!$M$48*0.438,2)</f>
        <v>0</v>
      </c>
      <c r="L113" s="221"/>
      <c r="M113" s="441" t="s">
        <v>191</v>
      </c>
      <c r="N113" s="440" t="s">
        <v>584</v>
      </c>
      <c r="O113" s="211">
        <f>ROUNDUP('7990NTP-NP'!$N$48*0.438,2)</f>
        <v>0</v>
      </c>
      <c r="P113" s="229"/>
      <c r="Q113" s="156" t="s">
        <v>191</v>
      </c>
      <c r="R113" s="151" t="s">
        <v>602</v>
      </c>
      <c r="S113" s="211">
        <f>ROUNDUP('7990NTP-NP'!$O$48*0.438,2)</f>
        <v>0</v>
      </c>
      <c r="T113" s="229"/>
      <c r="U113" s="156" t="s">
        <v>191</v>
      </c>
      <c r="V113" s="151" t="s">
        <v>620</v>
      </c>
      <c r="W113" s="211">
        <f>ROUNDUP('7990NTP-NP'!$P$48*0.438,2)</f>
        <v>0</v>
      </c>
      <c r="X113" s="229"/>
      <c r="Y113" s="156" t="s">
        <v>191</v>
      </c>
      <c r="Z113" s="151" t="s">
        <v>638</v>
      </c>
      <c r="AA113" s="211">
        <f>ROUNDUP('7990NTP-NP'!$Q$48*0.438,2)</f>
        <v>0</v>
      </c>
      <c r="AB113" s="229"/>
      <c r="AC113" s="216">
        <f>IF(C113+G113+K113+O113+S113+W113+AA113&gt;0,C113+G113+K113+O113+S113+W113+AA113,0)</f>
        <v>0</v>
      </c>
      <c r="AD113" s="167"/>
    </row>
    <row r="114" spans="1:30" ht="14" x14ac:dyDescent="0.3">
      <c r="A114" s="209"/>
      <c r="B114" s="210"/>
      <c r="C114" s="230"/>
      <c r="D114" s="229"/>
      <c r="E114" s="209"/>
      <c r="F114" s="210"/>
      <c r="G114" s="217"/>
      <c r="H114" s="229"/>
      <c r="I114" s="226"/>
      <c r="J114" s="210"/>
      <c r="K114" s="217"/>
      <c r="L114" s="221"/>
      <c r="M114" s="449"/>
      <c r="N114" s="443"/>
      <c r="O114" s="217"/>
      <c r="P114" s="229"/>
      <c r="Q114" s="209"/>
      <c r="R114" s="210"/>
      <c r="S114" s="217"/>
      <c r="T114" s="229"/>
      <c r="U114" s="209"/>
      <c r="V114" s="210"/>
      <c r="W114" s="217"/>
      <c r="X114" s="229"/>
      <c r="Y114" s="209"/>
      <c r="Z114" s="210"/>
      <c r="AA114" s="217"/>
      <c r="AB114" s="229"/>
      <c r="AC114" s="216"/>
      <c r="AD114" s="167"/>
    </row>
    <row r="115" spans="1:30" ht="64.5" customHeight="1" x14ac:dyDescent="0.3">
      <c r="A115" s="132" t="s">
        <v>193</v>
      </c>
      <c r="B115" s="125" t="s">
        <v>194</v>
      </c>
      <c r="C115" s="228">
        <f>ROUNDDOWN('7990NTP-NP'!K49-('7990NTP-NP'!K49*0.1),2)</f>
        <v>0</v>
      </c>
      <c r="D115" s="224">
        <f>'7990NTP-NP'!C49</f>
        <v>0</v>
      </c>
      <c r="E115" s="154" t="s">
        <v>193</v>
      </c>
      <c r="F115" s="125" t="s">
        <v>194</v>
      </c>
      <c r="G115" s="211">
        <f>ROUNDDOWN('7990NTP-NP'!L49-('7990NTP-NP'!L49*0.1),2)</f>
        <v>0</v>
      </c>
      <c r="H115" s="224">
        <f>'7990NTP-NP'!D49</f>
        <v>0</v>
      </c>
      <c r="I115" s="136" t="s">
        <v>193</v>
      </c>
      <c r="J115" s="125" t="s">
        <v>194</v>
      </c>
      <c r="K115" s="211">
        <f>ROUNDDOWN('7990NTP-NP'!M49-('7990NTP-NP'!M49*0.1),2)</f>
        <v>0</v>
      </c>
      <c r="L115" s="233">
        <f>'7990NTP-NP'!E49</f>
        <v>0</v>
      </c>
      <c r="M115" s="441" t="s">
        <v>193</v>
      </c>
      <c r="N115" s="447" t="s">
        <v>194</v>
      </c>
      <c r="O115" s="211">
        <f>ROUNDDOWN('7990NTP-NP'!N49-('7990NTP-NP'!N49*0.1),2)</f>
        <v>0</v>
      </c>
      <c r="P115" s="224">
        <f>'7990NTP-NP'!F49</f>
        <v>0</v>
      </c>
      <c r="Q115" s="154" t="s">
        <v>193</v>
      </c>
      <c r="R115" s="125" t="s">
        <v>194</v>
      </c>
      <c r="S115" s="211">
        <f>ROUNDDOWN('7990NTP-NP'!O49-('7990NTP-NP'!O49*0.1),2)</f>
        <v>0</v>
      </c>
      <c r="T115" s="224">
        <f>'7990NTP-NP'!G49</f>
        <v>0</v>
      </c>
      <c r="U115" s="154" t="s">
        <v>193</v>
      </c>
      <c r="V115" s="125" t="s">
        <v>194</v>
      </c>
      <c r="W115" s="211">
        <f>ROUNDDOWN('7990NTP-NP'!P49-('7990NTP-NP'!P49*0.1),2)</f>
        <v>0</v>
      </c>
      <c r="X115" s="224">
        <f>'7990NTP-NP'!H49</f>
        <v>0</v>
      </c>
      <c r="Y115" s="154" t="s">
        <v>193</v>
      </c>
      <c r="Z115" s="125" t="s">
        <v>194</v>
      </c>
      <c r="AA115" s="211">
        <f>ROUNDDOWN('7990NTP-NP'!Q49-('7990NTP-NP'!Q49*0.1),2)</f>
        <v>0</v>
      </c>
      <c r="AB115" s="224">
        <f>'7990NTP-NP'!I49</f>
        <v>0</v>
      </c>
      <c r="AC115" s="216">
        <f>IF(C115+G115+K115+O115+S115+W115+AA115&gt;0,C115+G115+K115+O115+S115+W115+AA115,0)</f>
        <v>0</v>
      </c>
      <c r="AD115" s="167"/>
    </row>
    <row r="116" spans="1:30" ht="64" customHeight="1" x14ac:dyDescent="0.3">
      <c r="A116" s="132" t="s">
        <v>195</v>
      </c>
      <c r="B116" s="125" t="s">
        <v>461</v>
      </c>
      <c r="C116" s="228">
        <f>ROUNDUP('7990NTP-NP'!K49*0.1,2)</f>
        <v>0</v>
      </c>
      <c r="D116" s="234"/>
      <c r="E116" s="154" t="s">
        <v>195</v>
      </c>
      <c r="F116" s="125" t="s">
        <v>461</v>
      </c>
      <c r="G116" s="211">
        <f>ROUNDUP('7990NTP-NP'!L49*0.1,2)</f>
        <v>0</v>
      </c>
      <c r="H116" s="234"/>
      <c r="I116" s="136" t="s">
        <v>195</v>
      </c>
      <c r="J116" s="125" t="s">
        <v>461</v>
      </c>
      <c r="K116" s="211">
        <f>ROUNDUP('7990NTP-NP'!M49*0.1,2)</f>
        <v>0</v>
      </c>
      <c r="L116" s="214"/>
      <c r="M116" s="441" t="s">
        <v>195</v>
      </c>
      <c r="N116" s="447" t="s">
        <v>461</v>
      </c>
      <c r="O116" s="211">
        <f>ROUNDUP('7990NTP-NP'!N49*0.1,2)</f>
        <v>0</v>
      </c>
      <c r="P116" s="234"/>
      <c r="Q116" s="154" t="s">
        <v>195</v>
      </c>
      <c r="R116" s="125" t="s">
        <v>461</v>
      </c>
      <c r="S116" s="211">
        <f>ROUNDUP('7990NTP-NP'!O49*0.1,2)</f>
        <v>0</v>
      </c>
      <c r="T116" s="234"/>
      <c r="U116" s="154" t="s">
        <v>195</v>
      </c>
      <c r="V116" s="125" t="s">
        <v>461</v>
      </c>
      <c r="W116" s="211">
        <f>ROUNDUP('7990NTP-NP'!P49*0.1,2)</f>
        <v>0</v>
      </c>
      <c r="X116" s="234"/>
      <c r="Y116" s="154" t="s">
        <v>195</v>
      </c>
      <c r="Z116" s="125" t="s">
        <v>461</v>
      </c>
      <c r="AA116" s="211">
        <f>ROUNDUP('7990NTP-NP'!Q49*0.1,2)</f>
        <v>0</v>
      </c>
      <c r="AB116" s="234"/>
      <c r="AC116" s="216">
        <f>IF(C116+G116+K116+O116+S116+W116+AA116&gt;0,C116+G116+K116+O116+S116+W116+AA116,0)</f>
        <v>0</v>
      </c>
      <c r="AD116" s="167"/>
    </row>
    <row r="117" spans="1:30" ht="14" x14ac:dyDescent="0.3">
      <c r="A117" s="136"/>
      <c r="B117" s="125"/>
      <c r="C117" s="228"/>
      <c r="D117" s="234"/>
      <c r="E117" s="154"/>
      <c r="F117" s="125"/>
      <c r="G117" s="211"/>
      <c r="H117" s="234"/>
      <c r="I117" s="136"/>
      <c r="J117" s="125"/>
      <c r="K117" s="211"/>
      <c r="L117" s="239"/>
      <c r="M117" s="441"/>
      <c r="N117" s="447"/>
      <c r="O117" s="211"/>
      <c r="P117" s="234"/>
      <c r="Q117" s="154"/>
      <c r="R117" s="125"/>
      <c r="S117" s="211"/>
      <c r="T117" s="234"/>
      <c r="U117" s="154"/>
      <c r="V117" s="125"/>
      <c r="W117" s="211"/>
      <c r="X117" s="234"/>
      <c r="Y117" s="154"/>
      <c r="Z117" s="125"/>
      <c r="AA117" s="211"/>
      <c r="AB117" s="234"/>
      <c r="AC117" s="216"/>
      <c r="AD117" s="167"/>
    </row>
    <row r="118" spans="1:30" ht="75.5" x14ac:dyDescent="0.3">
      <c r="A118" s="135" t="s">
        <v>385</v>
      </c>
      <c r="B118" s="123" t="s">
        <v>196</v>
      </c>
      <c r="C118" s="228">
        <f>ROUNDDOWN('7990NTP-NP'!$K$50-('7990NTP-NP'!$K$50*0.438),2)</f>
        <v>0</v>
      </c>
      <c r="D118" s="224">
        <f>'7990NTP-NP'!C50</f>
        <v>0</v>
      </c>
      <c r="E118" s="157" t="s">
        <v>385</v>
      </c>
      <c r="F118" s="151" t="s">
        <v>500</v>
      </c>
      <c r="G118" s="211">
        <f>ROUNDDOWN('7990NTP-NP'!$L$50-('7990NTP-NP'!$L$50*0.438),2)</f>
        <v>0</v>
      </c>
      <c r="H118" s="224">
        <f>'7990NTP-NP'!D50</f>
        <v>0</v>
      </c>
      <c r="I118" s="145" t="s">
        <v>385</v>
      </c>
      <c r="J118" s="123" t="s">
        <v>551</v>
      </c>
      <c r="K118" s="211">
        <f>ROUNDDOWN('7990NTP-NP'!$M$50-('7990NTP-NP'!$M$50*0.438),2)</f>
        <v>0</v>
      </c>
      <c r="L118" s="233">
        <f>'7990NTP-NP'!E50</f>
        <v>0</v>
      </c>
      <c r="M118" s="441" t="s">
        <v>670</v>
      </c>
      <c r="N118" s="440" t="s">
        <v>196</v>
      </c>
      <c r="O118" s="211">
        <f>ROUNDDOWN('7990NTP-NP'!$N$50-('7990NTP-NP'!$N$50*0.438),2)</f>
        <v>0</v>
      </c>
      <c r="P118" s="224">
        <f>'7990NTP-NP'!F50</f>
        <v>0</v>
      </c>
      <c r="Q118" s="441" t="s">
        <v>670</v>
      </c>
      <c r="R118" s="440" t="s">
        <v>196</v>
      </c>
      <c r="S118" s="211">
        <f>ROUNDDOWN('7990NTP-NP'!$O$50-('7990NTP-NP'!$O$50*0.438),2)</f>
        <v>0</v>
      </c>
      <c r="T118" s="224">
        <f>'7990NTP-NP'!G50</f>
        <v>0</v>
      </c>
      <c r="U118" s="441" t="s">
        <v>670</v>
      </c>
      <c r="V118" s="440" t="s">
        <v>196</v>
      </c>
      <c r="W118" s="211">
        <f>ROUNDDOWN('7990NTP-NP'!$P$50-('7990NTP-NP'!$P$50*0.438),2)</f>
        <v>0</v>
      </c>
      <c r="X118" s="224">
        <f>'7990NTP-NP'!H50</f>
        <v>0</v>
      </c>
      <c r="Y118" s="441" t="s">
        <v>670</v>
      </c>
      <c r="Z118" s="440" t="s">
        <v>196</v>
      </c>
      <c r="AA118" s="211">
        <f>ROUNDDOWN('7990NTP-NP'!$Q$50-('7990NTP-NP'!$Q$50*0.438),2)</f>
        <v>0</v>
      </c>
      <c r="AB118" s="224">
        <f>'7990NTP-NP'!I50</f>
        <v>0</v>
      </c>
      <c r="AC118" s="216">
        <f>IF(C118+G118+K118+O118+S118+W118+AA118&gt;0,C118+G118+K118+O118+S118+W118+AA118,0)</f>
        <v>0</v>
      </c>
      <c r="AD118" s="167"/>
    </row>
    <row r="119" spans="1:30" ht="78" customHeight="1" x14ac:dyDescent="0.3">
      <c r="A119" s="135" t="s">
        <v>386</v>
      </c>
      <c r="B119" s="123" t="s">
        <v>374</v>
      </c>
      <c r="C119" s="228">
        <f>ROUNDUP('7990NTP-NP'!$K$50*0.438,2)</f>
        <v>0</v>
      </c>
      <c r="D119" s="229"/>
      <c r="E119" s="157" t="s">
        <v>386</v>
      </c>
      <c r="F119" s="151" t="s">
        <v>501</v>
      </c>
      <c r="G119" s="211">
        <f>ROUNDUP('7990NTP-NP'!$L$50*0.438,2)</f>
        <v>0</v>
      </c>
      <c r="H119" s="229"/>
      <c r="I119" s="145" t="s">
        <v>386</v>
      </c>
      <c r="J119" s="123" t="s">
        <v>552</v>
      </c>
      <c r="K119" s="211">
        <f>ROUNDUP('7990NTP-NP'!$M$50*0.438,2)</f>
        <v>0</v>
      </c>
      <c r="L119" s="221"/>
      <c r="M119" s="441" t="s">
        <v>671</v>
      </c>
      <c r="N119" s="440" t="s">
        <v>672</v>
      </c>
      <c r="O119" s="211">
        <f>ROUNDUP('7990NTP-NP'!$N$50*0.438,2)</f>
        <v>0</v>
      </c>
      <c r="P119" s="229"/>
      <c r="Q119" s="441" t="s">
        <v>671</v>
      </c>
      <c r="R119" s="440" t="s">
        <v>672</v>
      </c>
      <c r="S119" s="211">
        <f>ROUNDUP('7990NTP-NP'!$O$50*0.438,2)</f>
        <v>0</v>
      </c>
      <c r="T119" s="229"/>
      <c r="U119" s="441" t="s">
        <v>671</v>
      </c>
      <c r="V119" s="440" t="s">
        <v>672</v>
      </c>
      <c r="W119" s="211">
        <f>ROUNDUP('7990NTP-NP'!$P$50*0.438,2)</f>
        <v>0</v>
      </c>
      <c r="X119" s="229"/>
      <c r="Y119" s="441" t="s">
        <v>671</v>
      </c>
      <c r="Z119" s="440" t="s">
        <v>672</v>
      </c>
      <c r="AA119" s="211">
        <f>ROUNDUP('7990NTP-NP'!$Q$50*0.438,2)</f>
        <v>0</v>
      </c>
      <c r="AB119" s="229"/>
      <c r="AC119" s="216">
        <f>IF(C119+G119+K119+O119+S119+W119+AA119&gt;0,C119+G119+K119+O119+S119+W119+AA119,0)</f>
        <v>0</v>
      </c>
      <c r="AD119" s="167"/>
    </row>
    <row r="120" spans="1:30" ht="14" x14ac:dyDescent="0.3">
      <c r="A120" s="209"/>
      <c r="B120" s="210"/>
      <c r="C120" s="230"/>
      <c r="D120" s="229"/>
      <c r="E120" s="209"/>
      <c r="F120" s="210"/>
      <c r="G120" s="217"/>
      <c r="H120" s="229"/>
      <c r="I120" s="226"/>
      <c r="J120" s="210"/>
      <c r="K120" s="217"/>
      <c r="L120" s="221"/>
      <c r="M120" s="449"/>
      <c r="N120" s="443"/>
      <c r="O120" s="217"/>
      <c r="P120" s="229"/>
      <c r="Q120" s="209"/>
      <c r="R120" s="210"/>
      <c r="S120" s="217"/>
      <c r="T120" s="229"/>
      <c r="U120" s="209"/>
      <c r="V120" s="210"/>
      <c r="W120" s="217"/>
      <c r="X120" s="229"/>
      <c r="Y120" s="209"/>
      <c r="Z120" s="210"/>
      <c r="AA120" s="217"/>
      <c r="AB120" s="229"/>
      <c r="AC120" s="216"/>
      <c r="AD120" s="167"/>
    </row>
    <row r="121" spans="1:30" ht="78.5" customHeight="1" x14ac:dyDescent="0.3">
      <c r="A121" s="135" t="s">
        <v>318</v>
      </c>
      <c r="B121" s="123" t="s">
        <v>197</v>
      </c>
      <c r="C121" s="228">
        <f>ROUNDDOWN('7990NTP-NP'!K51-('7990NTP-NP'!K51*0.438),2)</f>
        <v>0</v>
      </c>
      <c r="D121" s="224">
        <f>'7990NTP-NP'!C51</f>
        <v>0</v>
      </c>
      <c r="E121" s="157" t="s">
        <v>318</v>
      </c>
      <c r="F121" s="151" t="s">
        <v>502</v>
      </c>
      <c r="G121" s="211">
        <f>ROUNDDOWN('7990NTP-NP'!L51-('7990NTP-NP'!L51*0.438),2)</f>
        <v>0</v>
      </c>
      <c r="H121" s="224">
        <f>'7990NTP-NP'!D51</f>
        <v>0</v>
      </c>
      <c r="I121" s="145" t="s">
        <v>318</v>
      </c>
      <c r="J121" s="123" t="s">
        <v>553</v>
      </c>
      <c r="K121" s="211">
        <f>ROUNDDOWN('7990NTP-NP'!M51-('7990NTP-NP'!M51*0.438),2)</f>
        <v>0</v>
      </c>
      <c r="L121" s="233">
        <f>'7990NTP-NP'!E51</f>
        <v>0</v>
      </c>
      <c r="M121" s="441" t="s">
        <v>673</v>
      </c>
      <c r="N121" s="440" t="s">
        <v>197</v>
      </c>
      <c r="O121" s="211">
        <f>ROUNDDOWN('7990NTP-NP'!N51-('7990NTP-NP'!N51*0.438),2)</f>
        <v>0</v>
      </c>
      <c r="P121" s="224">
        <f>'7990NTP-NP'!F51</f>
        <v>0</v>
      </c>
      <c r="Q121" s="441" t="s">
        <v>673</v>
      </c>
      <c r="R121" s="440" t="s">
        <v>197</v>
      </c>
      <c r="S121" s="211">
        <f>ROUNDDOWN('7990NTP-NP'!O51-('7990NTP-NP'!O51*0.438),2)</f>
        <v>0</v>
      </c>
      <c r="T121" s="224">
        <f>'7990NTP-NP'!G51</f>
        <v>0</v>
      </c>
      <c r="U121" s="441" t="s">
        <v>673</v>
      </c>
      <c r="V121" s="440" t="s">
        <v>197</v>
      </c>
      <c r="W121" s="211">
        <f>ROUNDDOWN('7990NTP-NP'!P51-('7990NTP-NP'!P51*0.438),2)</f>
        <v>0</v>
      </c>
      <c r="X121" s="224">
        <f>'7990NTP-NP'!H51</f>
        <v>0</v>
      </c>
      <c r="Y121" s="441" t="s">
        <v>673</v>
      </c>
      <c r="Z121" s="440" t="s">
        <v>197</v>
      </c>
      <c r="AA121" s="211">
        <f>ROUNDDOWN('7990NTP-NP'!Q51-('7990NTP-NP'!Q51*0.438),2)</f>
        <v>0</v>
      </c>
      <c r="AB121" s="224">
        <f>'7990NTP-NP'!I51</f>
        <v>0</v>
      </c>
      <c r="AC121" s="216">
        <f>IF(C121+G121+K121+O121+S121+W121+AA121&gt;0,C121+G121+K121+O121+S121+W121+AA121,0)</f>
        <v>0</v>
      </c>
      <c r="AD121" s="167"/>
    </row>
    <row r="122" spans="1:30" ht="79.5" customHeight="1" x14ac:dyDescent="0.3">
      <c r="A122" s="135" t="s">
        <v>317</v>
      </c>
      <c r="B122" s="123" t="s">
        <v>374</v>
      </c>
      <c r="C122" s="228">
        <f>ROUNDUP('7990NTP-NP'!K51*0.438,2)</f>
        <v>0</v>
      </c>
      <c r="D122" s="229"/>
      <c r="E122" s="157" t="s">
        <v>317</v>
      </c>
      <c r="F122" s="151" t="s">
        <v>501</v>
      </c>
      <c r="G122" s="211">
        <f>ROUNDUP('7990NTP-NP'!L51*0.438,2)</f>
        <v>0</v>
      </c>
      <c r="H122" s="229"/>
      <c r="I122" s="145" t="s">
        <v>317</v>
      </c>
      <c r="J122" s="123" t="s">
        <v>552</v>
      </c>
      <c r="K122" s="211">
        <f>ROUNDUP('7990NTP-NP'!M51*0.438,2)</f>
        <v>0</v>
      </c>
      <c r="L122" s="221"/>
      <c r="M122" s="441" t="s">
        <v>674</v>
      </c>
      <c r="N122" s="440" t="s">
        <v>672</v>
      </c>
      <c r="O122" s="211">
        <f>ROUNDUP('7990NTP-NP'!N51*0.438,2)</f>
        <v>0</v>
      </c>
      <c r="P122" s="229"/>
      <c r="Q122" s="441" t="s">
        <v>674</v>
      </c>
      <c r="R122" s="440" t="s">
        <v>672</v>
      </c>
      <c r="S122" s="211">
        <f>ROUNDUP('7990NTP-NP'!O51*0.438,2)</f>
        <v>0</v>
      </c>
      <c r="T122" s="229"/>
      <c r="U122" s="441" t="s">
        <v>674</v>
      </c>
      <c r="V122" s="440" t="s">
        <v>672</v>
      </c>
      <c r="W122" s="211">
        <f>ROUNDUP('7990NTP-NP'!P51*0.438,2)</f>
        <v>0</v>
      </c>
      <c r="X122" s="229"/>
      <c r="Y122" s="441" t="s">
        <v>674</v>
      </c>
      <c r="Z122" s="440" t="s">
        <v>672</v>
      </c>
      <c r="AA122" s="211">
        <f>ROUNDUP('7990NTP-NP'!Q51*0.438,2)</f>
        <v>0</v>
      </c>
      <c r="AB122" s="229"/>
      <c r="AC122" s="216">
        <f>IF(C122+G122+K122+O122+S122+W122+AA122&gt;0,C122+G122+K122+O122+S122+W122+AA122,0)</f>
        <v>0</v>
      </c>
      <c r="AD122" s="167"/>
    </row>
    <row r="123" spans="1:30" ht="14" x14ac:dyDescent="0.3">
      <c r="A123" s="209"/>
      <c r="B123" s="210"/>
      <c r="C123" s="230"/>
      <c r="D123" s="229"/>
      <c r="E123" s="209"/>
      <c r="F123" s="210"/>
      <c r="G123" s="217"/>
      <c r="H123" s="229"/>
      <c r="I123" s="226"/>
      <c r="J123" s="210"/>
      <c r="K123" s="217"/>
      <c r="L123" s="221"/>
      <c r="M123" s="449"/>
      <c r="N123" s="443"/>
      <c r="O123" s="217"/>
      <c r="P123" s="229"/>
      <c r="Q123" s="209"/>
      <c r="R123" s="210"/>
      <c r="S123" s="217"/>
      <c r="T123" s="229"/>
      <c r="U123" s="209"/>
      <c r="V123" s="210"/>
      <c r="W123" s="217"/>
      <c r="X123" s="229"/>
      <c r="Y123" s="209"/>
      <c r="Z123" s="210"/>
      <c r="AA123" s="217"/>
      <c r="AB123" s="229"/>
      <c r="AC123" s="216"/>
      <c r="AD123" s="167"/>
    </row>
    <row r="124" spans="1:30" ht="75.5" x14ac:dyDescent="0.3">
      <c r="A124" s="134" t="s">
        <v>111</v>
      </c>
      <c r="B124" s="123" t="s">
        <v>112</v>
      </c>
      <c r="C124" s="228">
        <f>SUM('7990NTP-NP'!K52*1)</f>
        <v>0</v>
      </c>
      <c r="D124" s="224">
        <f>'7990NTP-NP'!C52</f>
        <v>0</v>
      </c>
      <c r="E124" s="156" t="s">
        <v>111</v>
      </c>
      <c r="F124" s="151" t="s">
        <v>503</v>
      </c>
      <c r="G124" s="211">
        <f>SUM('7990NTP-NP'!L52*1)</f>
        <v>0</v>
      </c>
      <c r="H124" s="224">
        <f>'7990NTP-NP'!D52</f>
        <v>0</v>
      </c>
      <c r="I124" s="144" t="s">
        <v>111</v>
      </c>
      <c r="J124" s="123" t="s">
        <v>554</v>
      </c>
      <c r="K124" s="211">
        <f>SUM('7990NTP-NP'!M52*1)</f>
        <v>0</v>
      </c>
      <c r="L124" s="233">
        <f>'7990NTP-NP'!E52</f>
        <v>0</v>
      </c>
      <c r="M124" s="441" t="s">
        <v>334</v>
      </c>
      <c r="N124" s="440" t="s">
        <v>335</v>
      </c>
      <c r="O124" s="211">
        <f>SUM('7990NTP-NP'!N52*1)</f>
        <v>0</v>
      </c>
      <c r="P124" s="224">
        <f>'7990NTP-NP'!F52</f>
        <v>0</v>
      </c>
      <c r="Q124" s="441" t="s">
        <v>334</v>
      </c>
      <c r="R124" s="440" t="s">
        <v>335</v>
      </c>
      <c r="S124" s="211">
        <f>SUM('7990NTP-NP'!O52*1)</f>
        <v>0</v>
      </c>
      <c r="T124" s="224">
        <f>'7990NTP-NP'!G52</f>
        <v>0</v>
      </c>
      <c r="U124" s="441" t="s">
        <v>334</v>
      </c>
      <c r="V124" s="440" t="s">
        <v>335</v>
      </c>
      <c r="W124" s="211">
        <f>SUM('7990NTP-NP'!P52*1)</f>
        <v>0</v>
      </c>
      <c r="X124" s="224">
        <f>'7990NTP-NP'!H52</f>
        <v>0</v>
      </c>
      <c r="Y124" s="441" t="s">
        <v>334</v>
      </c>
      <c r="Z124" s="440" t="s">
        <v>335</v>
      </c>
      <c r="AA124" s="211">
        <f>SUM('7990NTP-NP'!Q52*1)</f>
        <v>0</v>
      </c>
      <c r="AB124" s="224">
        <f>'7990NTP-NP'!I52</f>
        <v>0</v>
      </c>
      <c r="AC124" s="216">
        <f>IF(C124+G124+K124+O124+S124+W124+AA124&gt;0,C124+G124+K124+O124+S124+W124+AA124,0)</f>
        <v>0</v>
      </c>
      <c r="AD124" s="167"/>
    </row>
    <row r="125" spans="1:30" ht="14" x14ac:dyDescent="0.3">
      <c r="A125" s="209"/>
      <c r="B125" s="210"/>
      <c r="C125" s="230"/>
      <c r="D125" s="229"/>
      <c r="E125" s="209"/>
      <c r="F125" s="210"/>
      <c r="G125" s="217"/>
      <c r="H125" s="229"/>
      <c r="I125" s="226"/>
      <c r="J125" s="210"/>
      <c r="K125" s="217"/>
      <c r="L125" s="232"/>
      <c r="M125" s="449"/>
      <c r="N125" s="443"/>
      <c r="O125" s="217"/>
      <c r="P125" s="229"/>
      <c r="Q125" s="209"/>
      <c r="R125" s="210"/>
      <c r="S125" s="217"/>
      <c r="T125" s="229"/>
      <c r="U125" s="209"/>
      <c r="V125" s="210"/>
      <c r="W125" s="217"/>
      <c r="X125" s="229"/>
      <c r="Y125" s="209"/>
      <c r="Z125" s="210"/>
      <c r="AA125" s="217"/>
      <c r="AB125" s="229"/>
      <c r="AC125" s="216"/>
      <c r="AD125" s="167"/>
    </row>
    <row r="126" spans="1:30" ht="98" x14ac:dyDescent="0.3">
      <c r="A126" s="502" t="s">
        <v>704</v>
      </c>
      <c r="B126" s="503" t="s">
        <v>699</v>
      </c>
      <c r="C126" s="228">
        <f>SUM('7990NTP-NP'!K53*1)</f>
        <v>0</v>
      </c>
      <c r="D126" s="224">
        <f>'7990NTP-NP'!C53</f>
        <v>0</v>
      </c>
      <c r="E126" s="502" t="s">
        <v>704</v>
      </c>
      <c r="F126" s="503" t="s">
        <v>699</v>
      </c>
      <c r="G126" s="211">
        <f>SUM('7990NTP-NP'!L53*1)</f>
        <v>0</v>
      </c>
      <c r="H126" s="224">
        <f>'7990NTP-NP'!D53</f>
        <v>0</v>
      </c>
      <c r="I126" s="502" t="s">
        <v>704</v>
      </c>
      <c r="J126" s="503" t="s">
        <v>699</v>
      </c>
      <c r="K126" s="211">
        <f>SUM('7990NTP-NP'!M53*1)</f>
        <v>0</v>
      </c>
      <c r="L126" s="233">
        <f>'7990NTP-NP'!E53</f>
        <v>0</v>
      </c>
      <c r="M126" s="504" t="s">
        <v>705</v>
      </c>
      <c r="N126" s="503" t="s">
        <v>706</v>
      </c>
      <c r="O126" s="211">
        <f>SUM('7990NTP-NP'!N53*1)</f>
        <v>0</v>
      </c>
      <c r="P126" s="224">
        <f>'7990NTP-NP'!F53</f>
        <v>0</v>
      </c>
      <c r="Q126" s="504" t="s">
        <v>705</v>
      </c>
      <c r="R126" s="503" t="s">
        <v>706</v>
      </c>
      <c r="S126" s="211">
        <f>SUM('7990NTP-NP'!O53*1)</f>
        <v>0</v>
      </c>
      <c r="T126" s="224">
        <f>'7990NTP-NP'!G53</f>
        <v>0</v>
      </c>
      <c r="U126" s="504" t="s">
        <v>705</v>
      </c>
      <c r="V126" s="503" t="s">
        <v>706</v>
      </c>
      <c r="W126" s="211">
        <f>SUM('7990NTP-NP'!P53*1)</f>
        <v>0</v>
      </c>
      <c r="X126" s="224">
        <f>'7990NTP-NP'!H53</f>
        <v>0</v>
      </c>
      <c r="Y126" s="504" t="s">
        <v>705</v>
      </c>
      <c r="Z126" s="503" t="s">
        <v>706</v>
      </c>
      <c r="AA126" s="211">
        <f>SUM('7990NTP-NP'!Q53*1)</f>
        <v>0</v>
      </c>
      <c r="AB126" s="224">
        <f>'7990NTP-NP'!I53</f>
        <v>0</v>
      </c>
      <c r="AC126" s="216">
        <f>IF(C126+G126+K126+O126+S126+W126+AA126&gt;0,C126+G126+K126+O126+S126+W126+AA126,0)</f>
        <v>0</v>
      </c>
      <c r="AD126" s="167"/>
    </row>
    <row r="127" spans="1:30" ht="14" x14ac:dyDescent="0.3">
      <c r="A127" s="497"/>
      <c r="B127" s="498"/>
      <c r="C127" s="491"/>
      <c r="D127" s="229"/>
      <c r="E127" s="499"/>
      <c r="F127" s="498"/>
      <c r="G127" s="492"/>
      <c r="H127" s="229"/>
      <c r="I127" s="497"/>
      <c r="J127" s="498"/>
      <c r="K127" s="492"/>
      <c r="L127" s="500"/>
      <c r="M127" s="449"/>
      <c r="N127" s="501"/>
      <c r="O127" s="492"/>
      <c r="P127" s="229"/>
      <c r="Q127" s="449"/>
      <c r="R127" s="501"/>
      <c r="S127" s="492"/>
      <c r="T127" s="229"/>
      <c r="U127" s="449"/>
      <c r="V127" s="501"/>
      <c r="W127" s="492"/>
      <c r="X127" s="229"/>
      <c r="Y127" s="449"/>
      <c r="Z127" s="501"/>
      <c r="AA127" s="492"/>
      <c r="AB127" s="229"/>
      <c r="AC127" s="467"/>
      <c r="AD127" s="167"/>
    </row>
    <row r="128" spans="1:30" ht="63" x14ac:dyDescent="0.3">
      <c r="A128" s="135" t="s">
        <v>387</v>
      </c>
      <c r="B128" s="123" t="s">
        <v>198</v>
      </c>
      <c r="C128" s="228">
        <f>ROUNDDOWN('7990NTP-NP'!K54-('7990NTP-NP'!K54*0.438),2)</f>
        <v>0</v>
      </c>
      <c r="D128" s="224">
        <f>'7990NTP-NP'!C54</f>
        <v>0</v>
      </c>
      <c r="E128" s="157" t="s">
        <v>387</v>
      </c>
      <c r="F128" s="151" t="s">
        <v>504</v>
      </c>
      <c r="G128" s="211">
        <f>ROUNDDOWN('7990NTP-NP'!L54-('7990NTP-NP'!L54*0.438),2)</f>
        <v>0</v>
      </c>
      <c r="H128" s="224">
        <f>'7990NTP-NP'!D54</f>
        <v>0</v>
      </c>
      <c r="I128" s="145" t="s">
        <v>387</v>
      </c>
      <c r="J128" s="123" t="s">
        <v>555</v>
      </c>
      <c r="K128" s="211">
        <f>ROUNDDOWN('7990NTP-NP'!M54-('7990NTP-NP'!M54*0.438),2)</f>
        <v>0</v>
      </c>
      <c r="L128" s="233">
        <f>'7990NTP-NP'!E54</f>
        <v>0</v>
      </c>
      <c r="M128" s="441" t="s">
        <v>675</v>
      </c>
      <c r="N128" s="440" t="s">
        <v>198</v>
      </c>
      <c r="O128" s="211">
        <f>ROUNDDOWN('7990NTP-NP'!N54-('7990NTP-NP'!N54*0.438),2)</f>
        <v>0</v>
      </c>
      <c r="P128" s="224">
        <f>'7990NTP-NP'!F54</f>
        <v>0</v>
      </c>
      <c r="Q128" s="441" t="s">
        <v>675</v>
      </c>
      <c r="R128" s="440" t="s">
        <v>198</v>
      </c>
      <c r="S128" s="211">
        <f>ROUNDDOWN('7990NTP-NP'!O54-('7990NTP-NP'!O54*0.438),2)</f>
        <v>0</v>
      </c>
      <c r="T128" s="224">
        <f>'7990NTP-NP'!G54</f>
        <v>0</v>
      </c>
      <c r="U128" s="441" t="s">
        <v>675</v>
      </c>
      <c r="V128" s="440" t="s">
        <v>198</v>
      </c>
      <c r="W128" s="211">
        <f>ROUNDDOWN('7990NTP-NP'!P54-('7990NTP-NP'!P54*0.438),2)</f>
        <v>0</v>
      </c>
      <c r="X128" s="224">
        <f>'7990NTP-NP'!H54</f>
        <v>0</v>
      </c>
      <c r="Y128" s="441" t="s">
        <v>675</v>
      </c>
      <c r="Z128" s="440" t="s">
        <v>198</v>
      </c>
      <c r="AA128" s="211">
        <f>ROUNDDOWN('7990NTP-NP'!Q54-('7990NTP-NP'!Q54*0.438),2)</f>
        <v>0</v>
      </c>
      <c r="AB128" s="224">
        <f>'7990NTP-NP'!I54</f>
        <v>0</v>
      </c>
      <c r="AC128" s="216">
        <f>IF(C128+G128+K128+O128+S128+W128+AA128&gt;0,C128+G128+K128+O128+S128+W128+AA128,0)</f>
        <v>0</v>
      </c>
      <c r="AD128" s="167"/>
    </row>
    <row r="129" spans="1:30" ht="63" x14ac:dyDescent="0.3">
      <c r="A129" s="135" t="s">
        <v>388</v>
      </c>
      <c r="B129" s="123" t="s">
        <v>389</v>
      </c>
      <c r="C129" s="228">
        <f>ROUNDUP('7990NTP-NP'!K54*0.438,2)</f>
        <v>0</v>
      </c>
      <c r="D129" s="234"/>
      <c r="E129" s="157" t="s">
        <v>388</v>
      </c>
      <c r="F129" s="151" t="s">
        <v>505</v>
      </c>
      <c r="G129" s="211">
        <f>ROUNDUP('7990NTP-NP'!L54*0.438,2)</f>
        <v>0</v>
      </c>
      <c r="H129" s="234"/>
      <c r="I129" s="145" t="s">
        <v>388</v>
      </c>
      <c r="J129" s="123" t="s">
        <v>556</v>
      </c>
      <c r="K129" s="211">
        <f>ROUNDUP('7990NTP-NP'!M54*0.438,2)</f>
        <v>0</v>
      </c>
      <c r="L129" s="214"/>
      <c r="M129" s="441" t="s">
        <v>676</v>
      </c>
      <c r="N129" s="440" t="s">
        <v>677</v>
      </c>
      <c r="O129" s="211">
        <f>ROUNDUP('7990NTP-NP'!N54*0.438,2)</f>
        <v>0</v>
      </c>
      <c r="P129" s="234"/>
      <c r="Q129" s="441" t="s">
        <v>676</v>
      </c>
      <c r="R129" s="440" t="s">
        <v>677</v>
      </c>
      <c r="S129" s="211">
        <f>ROUNDUP('7990NTP-NP'!O54*0.438,2)</f>
        <v>0</v>
      </c>
      <c r="T129" s="234"/>
      <c r="U129" s="441" t="s">
        <v>676</v>
      </c>
      <c r="V129" s="440" t="s">
        <v>677</v>
      </c>
      <c r="W129" s="211">
        <f>ROUNDUP('7990NTP-NP'!P54*0.438,2)</f>
        <v>0</v>
      </c>
      <c r="X129" s="234"/>
      <c r="Y129" s="441" t="s">
        <v>676</v>
      </c>
      <c r="Z129" s="440" t="s">
        <v>677</v>
      </c>
      <c r="AA129" s="211">
        <f>ROUNDUP('7990NTP-NP'!Q54*0.438,2)</f>
        <v>0</v>
      </c>
      <c r="AB129" s="234"/>
      <c r="AC129" s="216">
        <f>IF(C129+G129+K129+O129+S129+W129+AA129&gt;0,C129+G129+K129+O129+S129+W129+AA129,0)</f>
        <v>0</v>
      </c>
      <c r="AD129" s="167"/>
    </row>
    <row r="130" spans="1:30" ht="14" x14ac:dyDescent="0.3">
      <c r="A130" s="209"/>
      <c r="B130" s="210"/>
      <c r="C130" s="230"/>
      <c r="D130" s="229"/>
      <c r="E130" s="209"/>
      <c r="F130" s="210"/>
      <c r="G130" s="217"/>
      <c r="H130" s="229"/>
      <c r="I130" s="226"/>
      <c r="J130" s="210"/>
      <c r="K130" s="217"/>
      <c r="L130" s="221"/>
      <c r="M130" s="449"/>
      <c r="N130" s="443"/>
      <c r="O130" s="217"/>
      <c r="P130" s="229"/>
      <c r="Q130" s="209"/>
      <c r="R130" s="210"/>
      <c r="S130" s="217"/>
      <c r="T130" s="229"/>
      <c r="U130" s="209"/>
      <c r="V130" s="210"/>
      <c r="W130" s="217"/>
      <c r="X130" s="229"/>
      <c r="Y130" s="209"/>
      <c r="Z130" s="210"/>
      <c r="AA130" s="217"/>
      <c r="AB130" s="229"/>
      <c r="AC130" s="216"/>
      <c r="AD130" s="167"/>
    </row>
    <row r="131" spans="1:30" ht="63" x14ac:dyDescent="0.3">
      <c r="A131" s="240" t="s">
        <v>113</v>
      </c>
      <c r="B131" s="124" t="s">
        <v>114</v>
      </c>
      <c r="C131" s="228">
        <f>SUM('7990NTP-NP'!K55*1)</f>
        <v>0</v>
      </c>
      <c r="D131" s="224">
        <f>'7990NTP-NP'!C55</f>
        <v>0</v>
      </c>
      <c r="E131" s="241" t="s">
        <v>113</v>
      </c>
      <c r="F131" s="153" t="s">
        <v>506</v>
      </c>
      <c r="G131" s="211">
        <f>SUM('7990NTP-NP'!L55*1)</f>
        <v>0</v>
      </c>
      <c r="H131" s="224">
        <f>'7990NTP-NP'!D55</f>
        <v>0</v>
      </c>
      <c r="I131" s="242" t="s">
        <v>113</v>
      </c>
      <c r="J131" s="124" t="s">
        <v>557</v>
      </c>
      <c r="K131" s="211">
        <f>SUM('7990NTP-NP'!M55*1)</f>
        <v>0</v>
      </c>
      <c r="L131" s="233">
        <f>'7990NTP-NP'!E55</f>
        <v>0</v>
      </c>
      <c r="M131" s="456" t="s">
        <v>336</v>
      </c>
      <c r="N131" s="444" t="s">
        <v>337</v>
      </c>
      <c r="O131" s="211">
        <f>SUM('7990NTP-NP'!N55*1)</f>
        <v>0</v>
      </c>
      <c r="P131" s="224">
        <f>'7990NTP-NP'!F55</f>
        <v>0</v>
      </c>
      <c r="Q131" s="456" t="s">
        <v>336</v>
      </c>
      <c r="R131" s="444" t="s">
        <v>337</v>
      </c>
      <c r="S131" s="211">
        <f>SUM('7990NTP-NP'!O55*1)</f>
        <v>0</v>
      </c>
      <c r="T131" s="224">
        <f>'7990NTP-NP'!G55</f>
        <v>0</v>
      </c>
      <c r="U131" s="456" t="s">
        <v>336</v>
      </c>
      <c r="V131" s="444" t="s">
        <v>337</v>
      </c>
      <c r="W131" s="211">
        <f>SUM('7990NTP-NP'!P55*1)</f>
        <v>0</v>
      </c>
      <c r="X131" s="224">
        <f>'7990NTP-NP'!H55</f>
        <v>0</v>
      </c>
      <c r="Y131" s="456" t="s">
        <v>336</v>
      </c>
      <c r="Z131" s="444" t="s">
        <v>337</v>
      </c>
      <c r="AA131" s="211">
        <f>SUM('7990NTP-NP'!Q55*1)</f>
        <v>0</v>
      </c>
      <c r="AB131" s="224">
        <f>'7990NTP-NP'!I55</f>
        <v>0</v>
      </c>
      <c r="AC131" s="216">
        <f>IF(C131+G131+K131+O131+S131+W131+AA131&gt;0,C131+G131+K131+O131+S131+W131+AA131,0)</f>
        <v>0</v>
      </c>
      <c r="AD131" s="167"/>
    </row>
    <row r="132" spans="1:30" ht="14" x14ac:dyDescent="0.3">
      <c r="A132" s="226"/>
      <c r="B132" s="210"/>
      <c r="C132" s="230"/>
      <c r="D132" s="229"/>
      <c r="E132" s="209"/>
      <c r="F132" s="210"/>
      <c r="G132" s="217"/>
      <c r="H132" s="229"/>
      <c r="I132" s="226"/>
      <c r="J132" s="210"/>
      <c r="K132" s="217"/>
      <c r="L132" s="232"/>
      <c r="M132" s="449"/>
      <c r="N132" s="443"/>
      <c r="O132" s="217"/>
      <c r="P132" s="229"/>
      <c r="Q132" s="209"/>
      <c r="R132" s="210"/>
      <c r="S132" s="217"/>
      <c r="T132" s="229"/>
      <c r="U132" s="209"/>
      <c r="V132" s="210"/>
      <c r="W132" s="217"/>
      <c r="X132" s="229"/>
      <c r="Y132" s="209"/>
      <c r="Z132" s="210"/>
      <c r="AA132" s="217"/>
      <c r="AB132" s="229"/>
      <c r="AC132" s="216"/>
      <c r="AD132" s="167"/>
    </row>
    <row r="133" spans="1:30" ht="84" x14ac:dyDescent="0.3">
      <c r="A133" s="474" t="s">
        <v>698</v>
      </c>
      <c r="B133" s="468" t="s">
        <v>697</v>
      </c>
      <c r="C133" s="228">
        <f>SUM('7990NTP-NP'!K56*1)</f>
        <v>0</v>
      </c>
      <c r="D133" s="224">
        <f>'7990NTP-NP'!C56</f>
        <v>0</v>
      </c>
      <c r="E133" s="474" t="s">
        <v>698</v>
      </c>
      <c r="F133" s="468" t="s">
        <v>697</v>
      </c>
      <c r="G133" s="228">
        <f>SUM('7990NTP-NP'!L56*1)</f>
        <v>0</v>
      </c>
      <c r="H133" s="224">
        <f>'7990NTP-NP'!D56</f>
        <v>0</v>
      </c>
      <c r="I133" s="474" t="s">
        <v>698</v>
      </c>
      <c r="J133" s="468" t="s">
        <v>697</v>
      </c>
      <c r="K133" s="228">
        <f>SUM('7990NTP-NP'!M56*1)</f>
        <v>0</v>
      </c>
      <c r="L133" s="224">
        <f>'7990NTP-NP'!E56</f>
        <v>0</v>
      </c>
      <c r="M133" s="474" t="s">
        <v>696</v>
      </c>
      <c r="N133" s="468" t="s">
        <v>692</v>
      </c>
      <c r="O133" s="228">
        <f>SUM('7990NTP-NP'!N56*1)</f>
        <v>0</v>
      </c>
      <c r="P133" s="224">
        <f>'7990NTP-NP'!F56</f>
        <v>0</v>
      </c>
      <c r="Q133" s="474" t="s">
        <v>696</v>
      </c>
      <c r="R133" s="468" t="s">
        <v>692</v>
      </c>
      <c r="S133" s="228">
        <f>SUM('7990NTP-NP'!O56*1)</f>
        <v>0</v>
      </c>
      <c r="T133" s="224">
        <f>'7990NTP-NP'!G56</f>
        <v>0</v>
      </c>
      <c r="U133" s="474" t="s">
        <v>696</v>
      </c>
      <c r="V133" s="468" t="s">
        <v>692</v>
      </c>
      <c r="W133" s="228">
        <f>SUM('7990NTP-NP'!P56*1)</f>
        <v>0</v>
      </c>
      <c r="X133" s="224">
        <f>'7990NTP-NP'!H56</f>
        <v>0</v>
      </c>
      <c r="Y133" s="474" t="s">
        <v>696</v>
      </c>
      <c r="Z133" s="468" t="s">
        <v>692</v>
      </c>
      <c r="AA133" s="228">
        <f>SUM('7990NTP-NP'!Q56*1)</f>
        <v>0</v>
      </c>
      <c r="AB133" s="224">
        <f>'7990NTP-NP'!I56</f>
        <v>0</v>
      </c>
      <c r="AC133" s="216">
        <f>IF(C133+G133+K133+O133+S133+W133+AA133&gt;0,C133+G133+K133+O133+S133+W133+AA133,0)</f>
        <v>0</v>
      </c>
      <c r="AD133" s="167"/>
    </row>
    <row r="134" spans="1:30" ht="14" x14ac:dyDescent="0.3">
      <c r="A134" s="478"/>
      <c r="B134" s="479"/>
      <c r="C134" s="480"/>
      <c r="D134" s="229"/>
      <c r="E134" s="478"/>
      <c r="F134" s="479"/>
      <c r="G134" s="480"/>
      <c r="H134" s="229"/>
      <c r="I134" s="478"/>
      <c r="J134" s="479"/>
      <c r="K134" s="480"/>
      <c r="L134" s="229"/>
      <c r="M134" s="478"/>
      <c r="N134" s="479"/>
      <c r="O134" s="480"/>
      <c r="P134" s="229"/>
      <c r="Q134" s="478"/>
      <c r="R134" s="479"/>
      <c r="S134" s="480"/>
      <c r="T134" s="229"/>
      <c r="U134" s="478"/>
      <c r="V134" s="479"/>
      <c r="W134" s="480"/>
      <c r="X134" s="229"/>
      <c r="Y134" s="478"/>
      <c r="Z134" s="479"/>
      <c r="AA134" s="480"/>
      <c r="AB134" s="229"/>
      <c r="AC134" s="467"/>
      <c r="AD134" s="167"/>
    </row>
    <row r="135" spans="1:30" ht="68" customHeight="1" x14ac:dyDescent="0.3">
      <c r="A135" s="135" t="s">
        <v>390</v>
      </c>
      <c r="B135" s="123" t="s">
        <v>199</v>
      </c>
      <c r="C135" s="228">
        <f>ROUNDDOWN('7990NTP-NP'!$K$57-('7990NTP-NP'!$K$57*0.3066),2)</f>
        <v>0</v>
      </c>
      <c r="D135" s="224">
        <f>'7990NTP-NP'!C57</f>
        <v>0</v>
      </c>
      <c r="E135" s="157" t="s">
        <v>390</v>
      </c>
      <c r="F135" s="151" t="s">
        <v>507</v>
      </c>
      <c r="G135" s="211">
        <f>ROUNDDOWN('7990NTP-NP'!$L$57-('7990NTP-NP'!$L$57*0.3066),2)</f>
        <v>0</v>
      </c>
      <c r="H135" s="224">
        <f>'7990NTP-NP'!D57</f>
        <v>0</v>
      </c>
      <c r="I135" s="145" t="s">
        <v>390</v>
      </c>
      <c r="J135" s="123" t="s">
        <v>558</v>
      </c>
      <c r="K135" s="211">
        <f>ROUNDDOWN('7990NTP-NP'!$M$57-('7990NTP-NP'!$M$57*0.3066),2)</f>
        <v>0</v>
      </c>
      <c r="L135" s="233">
        <f>'7990NTP-NP'!E57</f>
        <v>0</v>
      </c>
      <c r="M135" s="441" t="s">
        <v>678</v>
      </c>
      <c r="N135" s="440" t="s">
        <v>199</v>
      </c>
      <c r="O135" s="211">
        <f>ROUNDDOWN('7990NTP-NP'!$N$57-('7990NTP-NP'!$N$57*0.3066),2)</f>
        <v>0</v>
      </c>
      <c r="P135" s="224">
        <f>'7990NTP-NP'!F57</f>
        <v>0</v>
      </c>
      <c r="Q135" s="441" t="s">
        <v>678</v>
      </c>
      <c r="R135" s="440" t="s">
        <v>199</v>
      </c>
      <c r="S135" s="211">
        <f>ROUNDDOWN('7990NTP-NP'!$O$57-('7990NTP-NP'!$O$57*0.3066),2)</f>
        <v>0</v>
      </c>
      <c r="T135" s="224">
        <f>'7990NTP-NP'!G57</f>
        <v>0</v>
      </c>
      <c r="U135" s="441" t="s">
        <v>678</v>
      </c>
      <c r="V135" s="440" t="s">
        <v>199</v>
      </c>
      <c r="W135" s="211">
        <f>ROUNDDOWN('7990NTP-NP'!$P$57-('7990NTP-NP'!$P$57*0.3066),2)</f>
        <v>0</v>
      </c>
      <c r="X135" s="224">
        <f>'7990NTP-NP'!H57</f>
        <v>0</v>
      </c>
      <c r="Y135" s="441" t="s">
        <v>678</v>
      </c>
      <c r="Z135" s="440" t="s">
        <v>199</v>
      </c>
      <c r="AA135" s="211">
        <f>ROUNDDOWN('7990NTP-NP'!$Q$57-('7990NTP-NP'!$Q$57*0.3066),2)</f>
        <v>0</v>
      </c>
      <c r="AB135" s="224">
        <f>'7990NTP-NP'!I57</f>
        <v>0</v>
      </c>
      <c r="AC135" s="216">
        <f>IF(C135+G135+K135+O135+S135+W135+AA135&gt;0,C135+G135+K135+O135+S135+W135+AA135,0)</f>
        <v>0</v>
      </c>
      <c r="AD135" s="167"/>
    </row>
    <row r="136" spans="1:30" ht="73" customHeight="1" x14ac:dyDescent="0.3">
      <c r="A136" s="135" t="s">
        <v>391</v>
      </c>
      <c r="B136" s="123" t="s">
        <v>392</v>
      </c>
      <c r="C136" s="228">
        <f>ROUNDUP('7990NTP-NP'!$K$57*0.3066,2)</f>
        <v>0</v>
      </c>
      <c r="D136" s="229"/>
      <c r="E136" s="157" t="s">
        <v>391</v>
      </c>
      <c r="F136" s="151" t="s">
        <v>508</v>
      </c>
      <c r="G136" s="211">
        <f>ROUNDUP('7990NTP-NP'!$L$57*0.3066,2)</f>
        <v>0</v>
      </c>
      <c r="H136" s="229"/>
      <c r="I136" s="145" t="s">
        <v>391</v>
      </c>
      <c r="J136" s="123" t="s">
        <v>559</v>
      </c>
      <c r="K136" s="211">
        <f>ROUNDUP('7990NTP-NP'!$M$57*0.3066,2)</f>
        <v>0</v>
      </c>
      <c r="L136" s="221"/>
      <c r="M136" s="441" t="s">
        <v>679</v>
      </c>
      <c r="N136" s="440" t="s">
        <v>680</v>
      </c>
      <c r="O136" s="211">
        <f>ROUNDUP('7990NTP-NP'!$N$57*0.3066,2)</f>
        <v>0</v>
      </c>
      <c r="P136" s="229"/>
      <c r="Q136" s="441" t="s">
        <v>679</v>
      </c>
      <c r="R136" s="440" t="s">
        <v>680</v>
      </c>
      <c r="S136" s="211">
        <f>ROUNDUP('7990NTP-NP'!$O$57*0.3066,2)</f>
        <v>0</v>
      </c>
      <c r="T136" s="229"/>
      <c r="U136" s="441" t="s">
        <v>679</v>
      </c>
      <c r="V136" s="440" t="s">
        <v>680</v>
      </c>
      <c r="W136" s="211">
        <f>ROUNDUP('7990NTP-NP'!$P$57*0.3066,2)</f>
        <v>0</v>
      </c>
      <c r="X136" s="229"/>
      <c r="Y136" s="441" t="s">
        <v>679</v>
      </c>
      <c r="Z136" s="440" t="s">
        <v>680</v>
      </c>
      <c r="AA136" s="211">
        <f>ROUNDUP('7990NTP-NP'!$Q$57*0.3066,2)</f>
        <v>0</v>
      </c>
      <c r="AB136" s="229"/>
      <c r="AC136" s="216">
        <f>IF(C136+G136+K136+O136+S136+W136+AA136&gt;0,C136+G136+K136+O136+S136+W136+AA136,0)</f>
        <v>0</v>
      </c>
      <c r="AD136" s="167"/>
    </row>
    <row r="137" spans="1:30" ht="14" x14ac:dyDescent="0.3">
      <c r="A137" s="243"/>
      <c r="B137" s="210"/>
      <c r="C137" s="230"/>
      <c r="D137" s="229"/>
      <c r="E137" s="209"/>
      <c r="F137" s="210"/>
      <c r="G137" s="217"/>
      <c r="H137" s="229"/>
      <c r="I137" s="226"/>
      <c r="J137" s="210"/>
      <c r="K137" s="217"/>
      <c r="L137" s="221"/>
      <c r="M137" s="449"/>
      <c r="N137" s="443"/>
      <c r="O137" s="217"/>
      <c r="P137" s="229"/>
      <c r="Q137" s="209"/>
      <c r="R137" s="210"/>
      <c r="S137" s="217"/>
      <c r="T137" s="229"/>
      <c r="U137" s="209"/>
      <c r="V137" s="210"/>
      <c r="W137" s="217"/>
      <c r="X137" s="229"/>
      <c r="Y137" s="209"/>
      <c r="Z137" s="210"/>
      <c r="AA137" s="217"/>
      <c r="AB137" s="229"/>
      <c r="AC137" s="216"/>
      <c r="AD137" s="167"/>
    </row>
    <row r="138" spans="1:30" ht="50.5" x14ac:dyDescent="0.3">
      <c r="A138" s="132" t="s">
        <v>261</v>
      </c>
      <c r="B138" s="123" t="s">
        <v>462</v>
      </c>
      <c r="C138" s="228">
        <f>ROUNDDOWN('7990NTP-NP'!$K$58-('7990NTP-NP'!$K$58*0.1),2)</f>
        <v>0</v>
      </c>
      <c r="D138" s="224">
        <f>'7990NTP-NP'!C58</f>
        <v>0</v>
      </c>
      <c r="E138" s="154" t="s">
        <v>261</v>
      </c>
      <c r="F138" s="151" t="s">
        <v>509</v>
      </c>
      <c r="G138" s="211">
        <f>ROUNDDOWN('7990NTP-NP'!$L$58-('7990NTP-NP'!$L$58*0.1),2)</f>
        <v>0</v>
      </c>
      <c r="H138" s="224">
        <f>'7990NTP-NP'!D58</f>
        <v>0</v>
      </c>
      <c r="I138" s="136" t="s">
        <v>261</v>
      </c>
      <c r="J138" s="123" t="s">
        <v>560</v>
      </c>
      <c r="K138" s="211">
        <f>ROUNDDOWN('7990NTP-NP'!$M$58-('7990NTP-NP'!$M$58*0.1),2)</f>
        <v>0</v>
      </c>
      <c r="L138" s="233">
        <f>'7990NTP-NP'!E58</f>
        <v>0</v>
      </c>
      <c r="M138" s="441" t="s">
        <v>370</v>
      </c>
      <c r="N138" s="442" t="s">
        <v>372</v>
      </c>
      <c r="O138" s="211">
        <f>ROUNDDOWN('7990NTP-NP'!$N$58-('7990NTP-NP'!$N$58*0.1),2)</f>
        <v>0</v>
      </c>
      <c r="P138" s="224">
        <f>'7990NTP-NP'!F58</f>
        <v>0</v>
      </c>
      <c r="Q138" s="441" t="s">
        <v>370</v>
      </c>
      <c r="R138" s="442" t="s">
        <v>372</v>
      </c>
      <c r="S138" s="211">
        <f>ROUNDDOWN('7990NTP-NP'!$O$58-('7990NTP-NP'!$O$58*0.1),2)</f>
        <v>0</v>
      </c>
      <c r="T138" s="224">
        <f>'7990NTP-NP'!G58</f>
        <v>0</v>
      </c>
      <c r="U138" s="441" t="s">
        <v>370</v>
      </c>
      <c r="V138" s="442" t="s">
        <v>372</v>
      </c>
      <c r="W138" s="211">
        <f>ROUNDDOWN('7990NTP-NP'!$P$58-('7990NTP-NP'!$P$58*0.1),2)</f>
        <v>0</v>
      </c>
      <c r="X138" s="224">
        <f>'7990NTP-NP'!H58</f>
        <v>0</v>
      </c>
      <c r="Y138" s="441" t="s">
        <v>370</v>
      </c>
      <c r="Z138" s="442" t="s">
        <v>372</v>
      </c>
      <c r="AA138" s="211">
        <f>ROUNDDOWN('7990NTP-NP'!$Q$58-('7990NTP-NP'!$Q$58*0.1),2)</f>
        <v>0</v>
      </c>
      <c r="AB138" s="224">
        <f>'7990NTP-NP'!I58</f>
        <v>0</v>
      </c>
      <c r="AC138" s="216">
        <f>IF(C138+G138+K138+O138+S138+W138+AA138&gt;0,C138+G138+K138+O138+S138+W138+AA138,0)</f>
        <v>0</v>
      </c>
      <c r="AD138" s="167"/>
    </row>
    <row r="139" spans="1:30" ht="50.5" x14ac:dyDescent="0.3">
      <c r="A139" s="132" t="s">
        <v>263</v>
      </c>
      <c r="B139" s="123" t="s">
        <v>463</v>
      </c>
      <c r="C139" s="228">
        <f>ROUNDUP('7990NTP-NP'!$K$58*0.1,2)</f>
        <v>0</v>
      </c>
      <c r="D139" s="229"/>
      <c r="E139" s="154" t="s">
        <v>263</v>
      </c>
      <c r="F139" s="151" t="s">
        <v>510</v>
      </c>
      <c r="G139" s="211">
        <f>ROUNDUP('7990NTP-NP'!$L$58*0.1,2)</f>
        <v>0</v>
      </c>
      <c r="H139" s="229"/>
      <c r="I139" s="136" t="s">
        <v>263</v>
      </c>
      <c r="J139" s="123" t="s">
        <v>561</v>
      </c>
      <c r="K139" s="211">
        <f>ROUNDUP('7990NTP-NP'!$M$58*0.1,2)</f>
        <v>0</v>
      </c>
      <c r="L139" s="221"/>
      <c r="M139" s="441" t="s">
        <v>371</v>
      </c>
      <c r="N139" s="442" t="s">
        <v>373</v>
      </c>
      <c r="O139" s="211">
        <f>ROUNDUP('7990NTP-NP'!$N$58*0.1,2)</f>
        <v>0</v>
      </c>
      <c r="P139" s="229"/>
      <c r="Q139" s="441" t="s">
        <v>371</v>
      </c>
      <c r="R139" s="442" t="s">
        <v>373</v>
      </c>
      <c r="S139" s="211">
        <f>ROUNDUP('7990NTP-NP'!$O$58*0.1,2)</f>
        <v>0</v>
      </c>
      <c r="T139" s="229"/>
      <c r="U139" s="441" t="s">
        <v>371</v>
      </c>
      <c r="V139" s="442" t="s">
        <v>373</v>
      </c>
      <c r="W139" s="211">
        <f>ROUNDUP('7990NTP-NP'!$P$58*0.1,2)</f>
        <v>0</v>
      </c>
      <c r="X139" s="229"/>
      <c r="Y139" s="441" t="s">
        <v>371</v>
      </c>
      <c r="Z139" s="442" t="s">
        <v>373</v>
      </c>
      <c r="AA139" s="211">
        <f>ROUNDUP('7990NTP-NP'!$Q$58*0.1,2)</f>
        <v>0</v>
      </c>
      <c r="AB139" s="229"/>
      <c r="AC139" s="216">
        <f>IF(C139+G139+K139+O139+S139+W139+AA139&gt;0,C139+G139+K139+O139+S139+W139+AA139,0)</f>
        <v>0</v>
      </c>
      <c r="AD139" s="167"/>
    </row>
    <row r="140" spans="1:30" ht="14" x14ac:dyDescent="0.3">
      <c r="A140" s="243"/>
      <c r="B140" s="210"/>
      <c r="C140" s="230"/>
      <c r="D140" s="229"/>
      <c r="E140" s="209"/>
      <c r="F140" s="210"/>
      <c r="G140" s="217"/>
      <c r="H140" s="229"/>
      <c r="I140" s="226"/>
      <c r="J140" s="210"/>
      <c r="K140" s="217"/>
      <c r="L140" s="221"/>
      <c r="M140" s="449"/>
      <c r="N140" s="443"/>
      <c r="O140" s="217"/>
      <c r="P140" s="229"/>
      <c r="Q140" s="209"/>
      <c r="R140" s="210"/>
      <c r="S140" s="217"/>
      <c r="T140" s="229"/>
      <c r="U140" s="209"/>
      <c r="V140" s="210"/>
      <c r="W140" s="217"/>
      <c r="X140" s="229"/>
      <c r="Y140" s="209"/>
      <c r="Z140" s="210"/>
      <c r="AA140" s="217"/>
      <c r="AB140" s="229"/>
      <c r="AC140" s="216"/>
      <c r="AD140" s="167"/>
    </row>
    <row r="141" spans="1:30" ht="63" x14ac:dyDescent="0.3">
      <c r="A141" s="132" t="s">
        <v>253</v>
      </c>
      <c r="B141" s="123" t="s">
        <v>254</v>
      </c>
      <c r="C141" s="228">
        <f>ROUNDDOWN('7990NTP-NP'!K59-('7990NTP-NP'!K59*0.438),2)</f>
        <v>0</v>
      </c>
      <c r="D141" s="224">
        <f>'7990NTP-NP'!C59</f>
        <v>0</v>
      </c>
      <c r="E141" s="154" t="s">
        <v>253</v>
      </c>
      <c r="F141" s="151" t="s">
        <v>511</v>
      </c>
      <c r="G141" s="211">
        <f>ROUNDDOWN('7990NTP-NP'!L59-('7990NTP-NP'!L59*0.438),2)</f>
        <v>0</v>
      </c>
      <c r="H141" s="224">
        <f>'7990NTP-NP'!D59</f>
        <v>0</v>
      </c>
      <c r="I141" s="136" t="s">
        <v>253</v>
      </c>
      <c r="J141" s="123" t="s">
        <v>562</v>
      </c>
      <c r="K141" s="211">
        <f>ROUNDDOWN('7990NTP-NP'!M59-('7990NTP-NP'!M59*0.438),2)</f>
        <v>0</v>
      </c>
      <c r="L141" s="233">
        <f>'7990NTP-NP'!E59</f>
        <v>0</v>
      </c>
      <c r="M141" s="454" t="s">
        <v>360</v>
      </c>
      <c r="N141" s="440" t="s">
        <v>254</v>
      </c>
      <c r="O141" s="211">
        <f>ROUNDDOWN('7990NTP-NP'!N59-('7990NTP-NP'!N59*0.438),2)</f>
        <v>0</v>
      </c>
      <c r="P141" s="224">
        <f>'7990NTP-NP'!F59</f>
        <v>0</v>
      </c>
      <c r="Q141" s="454" t="s">
        <v>360</v>
      </c>
      <c r="R141" s="440" t="s">
        <v>254</v>
      </c>
      <c r="S141" s="211">
        <f>ROUNDDOWN('7990NTP-NP'!O59-('7990NTP-NP'!O59*0.438),2)</f>
        <v>0</v>
      </c>
      <c r="T141" s="224">
        <f>'7990NTP-NP'!G59</f>
        <v>0</v>
      </c>
      <c r="U141" s="454" t="s">
        <v>360</v>
      </c>
      <c r="V141" s="440" t="s">
        <v>254</v>
      </c>
      <c r="W141" s="211">
        <f>ROUNDDOWN('7990NTP-NP'!P59-('7990NTP-NP'!P59*0.438),2)</f>
        <v>0</v>
      </c>
      <c r="X141" s="224">
        <f>'7990NTP-NP'!H59</f>
        <v>0</v>
      </c>
      <c r="Y141" s="454" t="s">
        <v>360</v>
      </c>
      <c r="Z141" s="440" t="s">
        <v>254</v>
      </c>
      <c r="AA141" s="211">
        <f>ROUNDDOWN('7990NTP-NP'!Q59-('7990NTP-NP'!Q59*0.438),2)</f>
        <v>0</v>
      </c>
      <c r="AB141" s="224">
        <f>'7990NTP-NP'!I59</f>
        <v>0</v>
      </c>
      <c r="AC141" s="216">
        <f>IF(C141+G141+K141+O141+S141+W141+AA141&gt;0,C141+G141+K141+O141+S141+W141+AA141,0)</f>
        <v>0</v>
      </c>
      <c r="AD141" s="167"/>
    </row>
    <row r="142" spans="1:30" ht="63" x14ac:dyDescent="0.3">
      <c r="A142" s="132" t="s">
        <v>255</v>
      </c>
      <c r="B142" s="123" t="s">
        <v>256</v>
      </c>
      <c r="C142" s="228">
        <f>ROUNDUP('7990NTP-NP'!K59*0.438,2)</f>
        <v>0</v>
      </c>
      <c r="D142" s="234"/>
      <c r="E142" s="154" t="s">
        <v>255</v>
      </c>
      <c r="F142" s="151" t="s">
        <v>512</v>
      </c>
      <c r="G142" s="211">
        <f>ROUNDUP('7990NTP-NP'!L59*0.438,2)</f>
        <v>0</v>
      </c>
      <c r="H142" s="234"/>
      <c r="I142" s="136" t="s">
        <v>255</v>
      </c>
      <c r="J142" s="123" t="s">
        <v>563</v>
      </c>
      <c r="K142" s="211">
        <f>ROUNDUP('7990NTP-NP'!M59*0.438,2)</f>
        <v>0</v>
      </c>
      <c r="L142" s="214"/>
      <c r="M142" s="454" t="s">
        <v>361</v>
      </c>
      <c r="N142" s="440" t="s">
        <v>362</v>
      </c>
      <c r="O142" s="211">
        <f>ROUNDUP('7990NTP-NP'!N59*0.438,2)</f>
        <v>0</v>
      </c>
      <c r="P142" s="234"/>
      <c r="Q142" s="454" t="s">
        <v>361</v>
      </c>
      <c r="R142" s="440" t="s">
        <v>362</v>
      </c>
      <c r="S142" s="211">
        <f>ROUNDUP('7990NTP-NP'!O59*0.438,2)</f>
        <v>0</v>
      </c>
      <c r="T142" s="234"/>
      <c r="U142" s="454" t="s">
        <v>361</v>
      </c>
      <c r="V142" s="440" t="s">
        <v>362</v>
      </c>
      <c r="W142" s="211">
        <f>ROUNDUP('7990NTP-NP'!P59*0.438,2)</f>
        <v>0</v>
      </c>
      <c r="X142" s="234"/>
      <c r="Y142" s="454" t="s">
        <v>361</v>
      </c>
      <c r="Z142" s="440" t="s">
        <v>362</v>
      </c>
      <c r="AA142" s="211">
        <f>ROUNDUP('7990NTP-NP'!Q59*0.438,2)</f>
        <v>0</v>
      </c>
      <c r="AB142" s="234"/>
      <c r="AC142" s="216">
        <f>IF(C142+G142+K142+O142+S142+W142+AA142&gt;0,C142+G142+K142+O142+S142+W142+AA142,0)</f>
        <v>0</v>
      </c>
      <c r="AD142" s="167"/>
    </row>
    <row r="143" spans="1:30" ht="14" x14ac:dyDescent="0.3">
      <c r="A143" s="209"/>
      <c r="B143" s="244"/>
      <c r="C143" s="230"/>
      <c r="D143" s="229"/>
      <c r="E143" s="209"/>
      <c r="F143" s="244"/>
      <c r="G143" s="217"/>
      <c r="H143" s="229"/>
      <c r="I143" s="226"/>
      <c r="J143" s="244"/>
      <c r="K143" s="217"/>
      <c r="L143" s="221"/>
      <c r="M143" s="449"/>
      <c r="N143" s="448"/>
      <c r="O143" s="217"/>
      <c r="P143" s="229"/>
      <c r="Q143" s="209"/>
      <c r="R143" s="244"/>
      <c r="S143" s="217"/>
      <c r="T143" s="229"/>
      <c r="U143" s="209"/>
      <c r="V143" s="244"/>
      <c r="W143" s="217"/>
      <c r="X143" s="229"/>
      <c r="Y143" s="209"/>
      <c r="Z143" s="244"/>
      <c r="AA143" s="217"/>
      <c r="AB143" s="229"/>
      <c r="AC143" s="216"/>
      <c r="AD143" s="167"/>
    </row>
    <row r="144" spans="1:30" ht="66" customHeight="1" x14ac:dyDescent="0.3">
      <c r="A144" s="132" t="s">
        <v>257</v>
      </c>
      <c r="B144" s="123" t="s">
        <v>258</v>
      </c>
      <c r="C144" s="228">
        <f>ROUNDDOWN('7990NTP-NP'!$K$60-('7990NTP-NP'!$K$60*0.3066),2)</f>
        <v>0</v>
      </c>
      <c r="D144" s="224">
        <f>'7990NTP-NP'!C60</f>
        <v>0</v>
      </c>
      <c r="E144" s="154" t="s">
        <v>257</v>
      </c>
      <c r="F144" s="151" t="s">
        <v>513</v>
      </c>
      <c r="G144" s="211">
        <f>ROUNDDOWN('7990NTP-NP'!$L$60-('7990NTP-NP'!$L$60*0.3066),2)</f>
        <v>0</v>
      </c>
      <c r="H144" s="224">
        <f>'7990NTP-NP'!D60</f>
        <v>0</v>
      </c>
      <c r="I144" s="136" t="s">
        <v>257</v>
      </c>
      <c r="J144" s="123" t="s">
        <v>564</v>
      </c>
      <c r="K144" s="211">
        <f>ROUNDDOWN('7990NTP-NP'!$M$60-('7990NTP-NP'!$M$60*0.3066),2)</f>
        <v>0</v>
      </c>
      <c r="L144" s="233">
        <f>'7990NTP-NP'!E60</f>
        <v>0</v>
      </c>
      <c r="M144" s="454" t="s">
        <v>363</v>
      </c>
      <c r="N144" s="440" t="s">
        <v>258</v>
      </c>
      <c r="O144" s="211">
        <f>ROUNDDOWN('7990NTP-NP'!$N$60-('7990NTP-NP'!$N$60*0.3066),2)</f>
        <v>0</v>
      </c>
      <c r="P144" s="224">
        <f>'7990NTP-NP'!F60</f>
        <v>0</v>
      </c>
      <c r="Q144" s="454" t="s">
        <v>363</v>
      </c>
      <c r="R144" s="440" t="s">
        <v>258</v>
      </c>
      <c r="S144" s="211">
        <f>ROUNDDOWN('7990NTP-NP'!$O$60-('7990NTP-NP'!$O$60*0.3066),2)</f>
        <v>0</v>
      </c>
      <c r="T144" s="224">
        <f>'7990NTP-NP'!G60</f>
        <v>0</v>
      </c>
      <c r="U144" s="454" t="s">
        <v>363</v>
      </c>
      <c r="V144" s="440" t="s">
        <v>258</v>
      </c>
      <c r="W144" s="211">
        <f>ROUNDDOWN('7990NTP-NP'!$P$60-('7990NTP-NP'!$P$60*0.3066),2)</f>
        <v>0</v>
      </c>
      <c r="X144" s="224">
        <f>'7990NTP-NP'!H60</f>
        <v>0</v>
      </c>
      <c r="Y144" s="454" t="s">
        <v>363</v>
      </c>
      <c r="Z144" s="440" t="s">
        <v>258</v>
      </c>
      <c r="AA144" s="211">
        <f>ROUNDDOWN('7990NTP-NP'!$Q$60-('7990NTP-NP'!$Q$60*0.3066),2)</f>
        <v>0</v>
      </c>
      <c r="AB144" s="224">
        <f>'7990NTP-NP'!I60</f>
        <v>0</v>
      </c>
      <c r="AC144" s="216">
        <f>IF(C144+G144+K144+O144+S144+W144+AA144&gt;0,C144+G144+K144+O144+S144+W144+AA144,0)</f>
        <v>0</v>
      </c>
      <c r="AD144" s="167"/>
    </row>
    <row r="145" spans="1:30" ht="63" x14ac:dyDescent="0.3">
      <c r="A145" s="132" t="s">
        <v>259</v>
      </c>
      <c r="B145" s="123" t="s">
        <v>260</v>
      </c>
      <c r="C145" s="228">
        <f>ROUNDUP('7990NTP-NP'!$K$60*0.3066,2)</f>
        <v>0</v>
      </c>
      <c r="D145" s="229"/>
      <c r="E145" s="154" t="s">
        <v>259</v>
      </c>
      <c r="F145" s="151" t="s">
        <v>514</v>
      </c>
      <c r="G145" s="211">
        <f>ROUNDUP('7990NTP-NP'!$L$60*0.3066,2)</f>
        <v>0</v>
      </c>
      <c r="H145" s="229"/>
      <c r="I145" s="136" t="s">
        <v>259</v>
      </c>
      <c r="J145" s="123" t="s">
        <v>565</v>
      </c>
      <c r="K145" s="211">
        <f>ROUNDUP('7990NTP-NP'!$M$60*0.3066,2)</f>
        <v>0</v>
      </c>
      <c r="L145" s="221"/>
      <c r="M145" s="454" t="s">
        <v>364</v>
      </c>
      <c r="N145" s="440" t="s">
        <v>365</v>
      </c>
      <c r="O145" s="211">
        <f>ROUNDUP('7990NTP-NP'!$N$60*0.3066,2)</f>
        <v>0</v>
      </c>
      <c r="P145" s="229"/>
      <c r="Q145" s="454" t="s">
        <v>364</v>
      </c>
      <c r="R145" s="440" t="s">
        <v>365</v>
      </c>
      <c r="S145" s="211">
        <f>ROUNDUP('7990NTP-NP'!$O$60*0.3066,2)</f>
        <v>0</v>
      </c>
      <c r="T145" s="229"/>
      <c r="U145" s="454" t="s">
        <v>364</v>
      </c>
      <c r="V145" s="440" t="s">
        <v>365</v>
      </c>
      <c r="W145" s="211">
        <f>ROUNDUP('7990NTP-NP'!$P$60*0.3066,2)</f>
        <v>0</v>
      </c>
      <c r="X145" s="229"/>
      <c r="Y145" s="454" t="s">
        <v>364</v>
      </c>
      <c r="Z145" s="440" t="s">
        <v>365</v>
      </c>
      <c r="AA145" s="211">
        <f>ROUNDUP('7990NTP-NP'!$Q$60*0.3066,2)</f>
        <v>0</v>
      </c>
      <c r="AB145" s="229"/>
      <c r="AC145" s="216">
        <f>IF(C145+G145+K145+O145+S145+W145+AA145&gt;0,C145+G145+K145+O145+S145+W145+AA145,0)</f>
        <v>0</v>
      </c>
      <c r="AD145" s="167"/>
    </row>
    <row r="146" spans="1:30" ht="14" x14ac:dyDescent="0.3">
      <c r="A146" s="243"/>
      <c r="B146" s="244"/>
      <c r="C146" s="230"/>
      <c r="D146" s="229"/>
      <c r="E146" s="209"/>
      <c r="F146" s="244"/>
      <c r="G146" s="217"/>
      <c r="H146" s="229"/>
      <c r="I146" s="226"/>
      <c r="J146" s="244"/>
      <c r="K146" s="217"/>
      <c r="L146" s="221"/>
      <c r="M146" s="449"/>
      <c r="N146" s="448"/>
      <c r="O146" s="217"/>
      <c r="P146" s="229"/>
      <c r="Q146" s="209"/>
      <c r="R146" s="244"/>
      <c r="S146" s="217"/>
      <c r="T146" s="229"/>
      <c r="U146" s="209"/>
      <c r="V146" s="244"/>
      <c r="W146" s="217"/>
      <c r="X146" s="229"/>
      <c r="Y146" s="209"/>
      <c r="Z146" s="244"/>
      <c r="AA146" s="217"/>
      <c r="AB146" s="229"/>
      <c r="AC146" s="216"/>
      <c r="AD146" s="167"/>
    </row>
    <row r="147" spans="1:30" ht="63" x14ac:dyDescent="0.3">
      <c r="A147" s="132" t="s">
        <v>277</v>
      </c>
      <c r="B147" s="123" t="s">
        <v>464</v>
      </c>
      <c r="C147" s="228">
        <f>SUM('7990NTP-NP'!K61*1)</f>
        <v>0</v>
      </c>
      <c r="D147" s="224">
        <f>'7990NTP-NP'!C61</f>
        <v>0</v>
      </c>
      <c r="E147" s="154" t="s">
        <v>277</v>
      </c>
      <c r="F147" s="151" t="s">
        <v>515</v>
      </c>
      <c r="G147" s="211">
        <f>SUM('7990NTP-NP'!L61*1)</f>
        <v>0</v>
      </c>
      <c r="H147" s="224">
        <f>'7990NTP-NP'!D61</f>
        <v>0</v>
      </c>
      <c r="I147" s="136" t="s">
        <v>277</v>
      </c>
      <c r="J147" s="123" t="s">
        <v>566</v>
      </c>
      <c r="K147" s="211">
        <f>SUM('7990NTP-NP'!M61*1)</f>
        <v>0</v>
      </c>
      <c r="L147" s="233">
        <f>'7990NTP-NP'!E61</f>
        <v>0</v>
      </c>
      <c r="M147" s="454" t="s">
        <v>397</v>
      </c>
      <c r="N147" s="440" t="s">
        <v>398</v>
      </c>
      <c r="O147" s="211">
        <f>SUM('7990NTP-NP'!N61*1)</f>
        <v>0</v>
      </c>
      <c r="P147" s="224">
        <f>'7990NTP-NP'!F61</f>
        <v>0</v>
      </c>
      <c r="Q147" s="454" t="s">
        <v>397</v>
      </c>
      <c r="R147" s="440" t="s">
        <v>398</v>
      </c>
      <c r="S147" s="211">
        <f>SUM('7990NTP-NP'!O61*1)</f>
        <v>0</v>
      </c>
      <c r="T147" s="224">
        <f>'7990NTP-NP'!G61</f>
        <v>0</v>
      </c>
      <c r="U147" s="454" t="s">
        <v>397</v>
      </c>
      <c r="V147" s="440" t="s">
        <v>398</v>
      </c>
      <c r="W147" s="211">
        <f>SUM('7990NTP-NP'!P61*1)</f>
        <v>0</v>
      </c>
      <c r="X147" s="224">
        <f>'7990NTP-NP'!H61</f>
        <v>0</v>
      </c>
      <c r="Y147" s="454" t="s">
        <v>397</v>
      </c>
      <c r="Z147" s="440" t="s">
        <v>398</v>
      </c>
      <c r="AA147" s="211">
        <f>SUM('7990NTP-NP'!Q61*1)</f>
        <v>0</v>
      </c>
      <c r="AB147" s="224">
        <f>'7990NTP-NP'!I61</f>
        <v>0</v>
      </c>
      <c r="AC147" s="216">
        <f>IF(C147+G147+K147+O147+S147+W147+AA147&gt;0,C147+G147+K147+O147+S147+W147+AA147,0)</f>
        <v>0</v>
      </c>
      <c r="AD147" s="167"/>
    </row>
    <row r="148" spans="1:30" ht="14.5" x14ac:dyDescent="0.35">
      <c r="A148" s="226"/>
      <c r="B148" s="245"/>
      <c r="C148" s="217"/>
      <c r="D148" s="246"/>
      <c r="E148" s="209"/>
      <c r="F148" s="213"/>
      <c r="G148" s="222"/>
      <c r="H148" s="232"/>
      <c r="I148" s="219"/>
      <c r="J148" s="210"/>
      <c r="K148" s="222"/>
      <c r="L148" s="232"/>
      <c r="M148" s="209"/>
      <c r="N148" s="210"/>
      <c r="O148" s="222"/>
      <c r="P148" s="232"/>
      <c r="Q148" s="219"/>
      <c r="R148" s="210"/>
      <c r="S148" s="222"/>
      <c r="T148" s="232"/>
      <c r="U148" s="219"/>
      <c r="V148" s="210"/>
      <c r="W148" s="222"/>
      <c r="X148" s="232"/>
      <c r="Y148" s="219"/>
      <c r="Z148" s="210"/>
      <c r="AA148" s="222"/>
      <c r="AB148" s="232"/>
      <c r="AC148" s="216"/>
      <c r="AD148" s="167"/>
    </row>
    <row r="149" spans="1:30" ht="88" hidden="1" x14ac:dyDescent="0.3">
      <c r="A149" s="247" t="s">
        <v>229</v>
      </c>
      <c r="B149" s="210" t="s">
        <v>230</v>
      </c>
      <c r="C149" s="211">
        <f>ROUNDDOWN('7990NTP-NP'!$K$47-('7990NTP-NP'!$K$47*0.1916),2)</f>
        <v>0</v>
      </c>
      <c r="D149" s="233">
        <f>'7990NTP-NP'!C47</f>
        <v>0</v>
      </c>
      <c r="E149" s="248" t="s">
        <v>229</v>
      </c>
      <c r="F149" s="213" t="s">
        <v>230</v>
      </c>
      <c r="G149" s="211">
        <f>ROUNDDOWN('7990NTP-NP'!$L$47-('7990NTP-NP'!$L$47*0.1916),2)</f>
        <v>0</v>
      </c>
      <c r="H149" s="233">
        <f>'7990NTP-NP'!D47</f>
        <v>0</v>
      </c>
      <c r="I149" s="219" t="s">
        <v>229</v>
      </c>
      <c r="J149" s="210" t="s">
        <v>319</v>
      </c>
      <c r="K149" s="211">
        <f>ROUNDDOWN('7990NTP-NP'!M47-('7990NTP-NP'!M47*0.1916),2)</f>
        <v>0</v>
      </c>
      <c r="L149" s="233">
        <f>'7990NTP-NP'!E47</f>
        <v>0</v>
      </c>
      <c r="M149" s="248" t="s">
        <v>229</v>
      </c>
      <c r="N149" s="210" t="s">
        <v>230</v>
      </c>
      <c r="O149" s="211">
        <f>ROUNDDOWN('7990NTP-NP'!N47-('7990NTP-NP'!N47*0.1916),2)</f>
        <v>0</v>
      </c>
      <c r="P149" s="233">
        <f>'7990NTP-NP'!F47</f>
        <v>0</v>
      </c>
      <c r="Q149" s="219" t="s">
        <v>229</v>
      </c>
      <c r="R149" s="210" t="s">
        <v>319</v>
      </c>
      <c r="S149" s="211">
        <f>ROUNDDOWN('7990NTP-NP'!O47-('7990NTP-NP'!O47*0.1916),2)</f>
        <v>0</v>
      </c>
      <c r="T149" s="233">
        <f>'7990NTP-NP'!G47</f>
        <v>0</v>
      </c>
      <c r="U149" s="219" t="s">
        <v>229</v>
      </c>
      <c r="V149" s="210" t="s">
        <v>319</v>
      </c>
      <c r="W149" s="211">
        <f>ROUNDDOWN('7990NTP-NP'!P47-('7990NTP-NP'!P47*0.1916),2)</f>
        <v>0</v>
      </c>
      <c r="X149" s="233">
        <f>'7990NTP-NP'!H47</f>
        <v>0</v>
      </c>
      <c r="Y149" s="219" t="s">
        <v>229</v>
      </c>
      <c r="Z149" s="210" t="s">
        <v>319</v>
      </c>
      <c r="AA149" s="211">
        <f>ROUNDDOWN('7990NTP-NP'!Q47-('7990NTP-NP'!Q47*0.1916),2)</f>
        <v>0</v>
      </c>
      <c r="AB149" s="233">
        <f>'7990NTP-NP'!I47</f>
        <v>0</v>
      </c>
      <c r="AC149" s="216">
        <f>IF(C149+G149+K149+O149+S149+W149+AA149&gt;0,C149+G149+K149+O149+S149+W149+AA149,0)</f>
        <v>0</v>
      </c>
      <c r="AD149" s="167"/>
    </row>
    <row r="150" spans="1:30" ht="88" hidden="1" x14ac:dyDescent="0.3">
      <c r="A150" s="247" t="s">
        <v>231</v>
      </c>
      <c r="B150" s="210" t="s">
        <v>232</v>
      </c>
      <c r="C150" s="211">
        <f>ROUNDUP('7990NTP-NP'!$K$47*0.1916,2)</f>
        <v>0</v>
      </c>
      <c r="D150" s="221"/>
      <c r="E150" s="248" t="s">
        <v>231</v>
      </c>
      <c r="F150" s="213" t="s">
        <v>232</v>
      </c>
      <c r="G150" s="211">
        <f>ROUNDUP('7990NTP-NP'!$L$47*0.1916,2)</f>
        <v>0</v>
      </c>
      <c r="H150" s="221"/>
      <c r="I150" s="219" t="s">
        <v>231</v>
      </c>
      <c r="J150" s="210" t="s">
        <v>399</v>
      </c>
      <c r="K150" s="211">
        <f>ROUNDUP('7990NTP-NP'!M47*0.1916,2)</f>
        <v>0</v>
      </c>
      <c r="L150" s="221"/>
      <c r="M150" s="248" t="s">
        <v>231</v>
      </c>
      <c r="N150" s="210" t="s">
        <v>232</v>
      </c>
      <c r="O150" s="211">
        <f>ROUNDUP('7990NTP-NP'!N47*0.1916,2)</f>
        <v>0</v>
      </c>
      <c r="P150" s="221"/>
      <c r="Q150" s="219" t="s">
        <v>231</v>
      </c>
      <c r="R150" s="210" t="s">
        <v>399</v>
      </c>
      <c r="S150" s="211">
        <f>ROUNDUP('7990NTP-NP'!O47*0.1916,2)</f>
        <v>0</v>
      </c>
      <c r="T150" s="221"/>
      <c r="U150" s="219" t="s">
        <v>231</v>
      </c>
      <c r="V150" s="210" t="s">
        <v>399</v>
      </c>
      <c r="W150" s="211">
        <f>ROUNDUP('7990NTP-NP'!P47*0.1916,2)</f>
        <v>0</v>
      </c>
      <c r="X150" s="221"/>
      <c r="Y150" s="219" t="s">
        <v>231</v>
      </c>
      <c r="Z150" s="210" t="s">
        <v>399</v>
      </c>
      <c r="AA150" s="211">
        <f>ROUNDUP('7990NTP-NP'!Q47*0.1916,2)</f>
        <v>0</v>
      </c>
      <c r="AB150" s="221"/>
      <c r="AC150" s="216">
        <f>IF(C150+G150+K150+O150+S150+W150+AA150&gt;0,C150+G150+K150+O150+S150+W150+AA150,0)</f>
        <v>0</v>
      </c>
      <c r="AD150" s="167"/>
    </row>
    <row r="151" spans="1:30" ht="14.5" hidden="1" x14ac:dyDescent="0.35">
      <c r="A151" s="243"/>
      <c r="B151" s="245"/>
      <c r="C151" s="217"/>
      <c r="D151" s="221"/>
      <c r="E151" s="219"/>
      <c r="F151" s="213"/>
      <c r="G151" s="222"/>
      <c r="H151" s="221"/>
      <c r="I151" s="219"/>
      <c r="J151" s="210"/>
      <c r="K151" s="222"/>
      <c r="L151" s="221"/>
      <c r="M151" s="219"/>
      <c r="N151" s="210"/>
      <c r="O151" s="222"/>
      <c r="P151" s="221"/>
      <c r="Q151" s="219"/>
      <c r="R151" s="210"/>
      <c r="S151" s="222"/>
      <c r="T151" s="221"/>
      <c r="U151" s="219"/>
      <c r="V151" s="210"/>
      <c r="W151" s="222"/>
      <c r="X151" s="221"/>
      <c r="Y151" s="219"/>
      <c r="Z151" s="210"/>
      <c r="AA151" s="222"/>
      <c r="AB151" s="221"/>
      <c r="AC151" s="216"/>
      <c r="AD151" s="167"/>
    </row>
    <row r="152" spans="1:30" ht="63" hidden="1" x14ac:dyDescent="0.3">
      <c r="A152" s="132" t="s">
        <v>320</v>
      </c>
      <c r="B152" s="236" t="s">
        <v>322</v>
      </c>
      <c r="C152" s="211" t="e">
        <f>ROUNDDOWN('7990NTP-NP'!#REF!-('7990NTP-NP'!#REF!*0.12),2)</f>
        <v>#REF!</v>
      </c>
      <c r="D152" s="233" t="e">
        <f>'7990NTP-NP'!#REF!</f>
        <v>#REF!</v>
      </c>
      <c r="E152" s="154" t="s">
        <v>320</v>
      </c>
      <c r="F152" s="213" t="s">
        <v>322</v>
      </c>
      <c r="G152" s="211" t="e">
        <f>ROUNDDOWN('7990NTP-NP'!#REF!-('7990NTP-NP'!#REF!*0.12),2)</f>
        <v>#REF!</v>
      </c>
      <c r="H152" s="233" t="e">
        <f>'7990NTP-NP'!#REF!</f>
        <v>#REF!</v>
      </c>
      <c r="I152" s="154" t="s">
        <v>320</v>
      </c>
      <c r="J152" s="236" t="s">
        <v>322</v>
      </c>
      <c r="K152" s="211" t="e">
        <f>ROUNDDOWN('7990NTP-NP'!#REF!-('7990NTP-NP'!#REF!*0.12),2)</f>
        <v>#REF!</v>
      </c>
      <c r="L152" s="233" t="e">
        <f>'7990NTP-NP'!#REF!</f>
        <v>#REF!</v>
      </c>
      <c r="M152" s="219" t="s">
        <v>278</v>
      </c>
      <c r="N152" s="210" t="s">
        <v>322</v>
      </c>
      <c r="O152" s="211" t="e">
        <f>ROUNDDOWN('7990NTP-NP'!#REF!-('7990NTP-NP'!#REF!*0.12),2)</f>
        <v>#REF!</v>
      </c>
      <c r="P152" s="233" t="e">
        <f>'7990NTP-NP'!#REF!</f>
        <v>#REF!</v>
      </c>
      <c r="Q152" s="219" t="s">
        <v>320</v>
      </c>
      <c r="R152" s="210" t="s">
        <v>322</v>
      </c>
      <c r="S152" s="211" t="e">
        <f>ROUNDDOWN('7990NTP-NP'!#REF!-('7990NTP-NP'!#REF!*0.12),2)</f>
        <v>#REF!</v>
      </c>
      <c r="T152" s="233" t="e">
        <f>'7990NTP-NP'!#REF!</f>
        <v>#REF!</v>
      </c>
      <c r="U152" s="154" t="s">
        <v>278</v>
      </c>
      <c r="V152" s="236" t="s">
        <v>95</v>
      </c>
      <c r="W152" s="211" t="e">
        <f>ROUNDDOWN('7990NTP-NP'!#REF!-('7990NTP-NP'!#REF!*0.12),2)</f>
        <v>#REF!</v>
      </c>
      <c r="X152" s="233" t="e">
        <f>'7990NTP-NP'!#REF!</f>
        <v>#REF!</v>
      </c>
      <c r="Y152" s="154" t="s">
        <v>278</v>
      </c>
      <c r="Z152" s="236" t="s">
        <v>95</v>
      </c>
      <c r="AA152" s="211" t="e">
        <f>ROUNDDOWN('7990NTP-NP'!#REF!-('7990NTP-NP'!#REF!*0.12),2)</f>
        <v>#REF!</v>
      </c>
      <c r="AB152" s="233" t="e">
        <f>'7990NTP-NP'!#REF!</f>
        <v>#REF!</v>
      </c>
      <c r="AC152" s="216" t="e">
        <f>IF(C152+G152+K152+O152+S152+W152+AA152&gt;0,C152+G152+K152+O152+S152+W152+AA152,0)</f>
        <v>#REF!</v>
      </c>
      <c r="AD152" s="167"/>
    </row>
    <row r="153" spans="1:30" ht="63" hidden="1" x14ac:dyDescent="0.3">
      <c r="A153" s="249" t="s">
        <v>321</v>
      </c>
      <c r="B153" s="210" t="s">
        <v>323</v>
      </c>
      <c r="C153" s="211" t="e">
        <f>ROUNDUP('7990NTP-NP'!#REF!*0.12,2)</f>
        <v>#REF!</v>
      </c>
      <c r="D153" s="214"/>
      <c r="E153" s="209" t="s">
        <v>321</v>
      </c>
      <c r="F153" s="213" t="s">
        <v>323</v>
      </c>
      <c r="G153" s="211" t="e">
        <f>ROUNDUP('7990NTP-NP'!#REF!*0.12,2)</f>
        <v>#REF!</v>
      </c>
      <c r="H153" s="214"/>
      <c r="I153" s="209" t="s">
        <v>321</v>
      </c>
      <c r="J153" s="210" t="s">
        <v>323</v>
      </c>
      <c r="K153" s="211" t="e">
        <f>ROUNDUP('7990NTP-NP'!#REF!*0.12,2)</f>
        <v>#REF!</v>
      </c>
      <c r="L153" s="214"/>
      <c r="M153" s="250" t="s">
        <v>279</v>
      </c>
      <c r="N153" s="236" t="s">
        <v>396</v>
      </c>
      <c r="O153" s="211" t="e">
        <f>ROUNDUP('7990NTP-NP'!#REF!*0.12,2)</f>
        <v>#REF!</v>
      </c>
      <c r="P153" s="214"/>
      <c r="Q153" s="250" t="s">
        <v>321</v>
      </c>
      <c r="R153" s="236" t="s">
        <v>323</v>
      </c>
      <c r="S153" s="211" t="e">
        <f>ROUNDUP('7990NTP-NP'!#REF!*0.12,2)</f>
        <v>#REF!</v>
      </c>
      <c r="T153" s="214"/>
      <c r="U153" s="209" t="s">
        <v>279</v>
      </c>
      <c r="V153" s="210" t="s">
        <v>280</v>
      </c>
      <c r="W153" s="211" t="e">
        <f>ROUNDUP('7990NTP-NP'!#REF!*0.12,2)</f>
        <v>#REF!</v>
      </c>
      <c r="X153" s="214"/>
      <c r="Y153" s="209" t="s">
        <v>279</v>
      </c>
      <c r="Z153" s="210" t="s">
        <v>280</v>
      </c>
      <c r="AA153" s="211" t="e">
        <f>ROUNDUP('7990NTP-NP'!#REF!*0.12,2)</f>
        <v>#REF!</v>
      </c>
      <c r="AB153" s="214"/>
      <c r="AC153" s="216" t="e">
        <f>IF(C153+G153+K153+O153+S153+W153+AA153&gt;0,C153+G153+K153+O153+S153+W153+AA153,0)</f>
        <v>#REF!</v>
      </c>
      <c r="AD153" s="167"/>
    </row>
    <row r="154" spans="1:30" ht="14" hidden="1" x14ac:dyDescent="0.3">
      <c r="A154" s="209"/>
      <c r="B154" s="210"/>
      <c r="C154" s="217"/>
      <c r="D154" s="221"/>
      <c r="E154" s="219"/>
      <c r="F154" s="213"/>
      <c r="G154" s="222"/>
      <c r="H154" s="221"/>
      <c r="I154" s="219"/>
      <c r="J154" s="210"/>
      <c r="K154" s="222"/>
      <c r="L154" s="221"/>
      <c r="M154" s="219"/>
      <c r="N154" s="210"/>
      <c r="O154" s="222"/>
      <c r="P154" s="221"/>
      <c r="Q154" s="219"/>
      <c r="R154" s="210"/>
      <c r="S154" s="222"/>
      <c r="T154" s="221"/>
      <c r="U154" s="219"/>
      <c r="V154" s="210"/>
      <c r="W154" s="222"/>
      <c r="X154" s="221"/>
      <c r="Y154" s="219"/>
      <c r="Z154" s="210"/>
      <c r="AA154" s="222"/>
      <c r="AB154" s="221"/>
      <c r="AC154" s="216"/>
      <c r="AD154" s="167"/>
    </row>
    <row r="155" spans="1:30" ht="63" hidden="1" x14ac:dyDescent="0.3">
      <c r="A155" s="251" t="s">
        <v>378</v>
      </c>
      <c r="B155" s="210" t="s">
        <v>234</v>
      </c>
      <c r="C155" s="211">
        <f>ROUNDDOWN('7990NTP-NP'!$K$48-('7990NTP-NP'!$K$48*0.235),2)</f>
        <v>0</v>
      </c>
      <c r="D155" s="233">
        <f>'7990NTP-NP'!C48</f>
        <v>0</v>
      </c>
      <c r="E155" s="248" t="s">
        <v>378</v>
      </c>
      <c r="F155" s="213" t="s">
        <v>234</v>
      </c>
      <c r="G155" s="211">
        <f>ROUNDDOWN('7990NTP-NP'!$L$48-('7990NTP-NP'!$L$48*0.235),2)</f>
        <v>0</v>
      </c>
      <c r="H155" s="233">
        <f>'7990NTP-NP'!D48</f>
        <v>0</v>
      </c>
      <c r="I155" s="248" t="s">
        <v>378</v>
      </c>
      <c r="J155" s="210" t="s">
        <v>234</v>
      </c>
      <c r="K155" s="211">
        <f>ROUNDDOWN('7990NTP-NP'!M48-('7990NTP-NP'!M48*0.235),2)</f>
        <v>0</v>
      </c>
      <c r="L155" s="233">
        <f>'7990NTP-NP'!E48</f>
        <v>0</v>
      </c>
      <c r="M155" s="248" t="s">
        <v>233</v>
      </c>
      <c r="N155" s="210" t="s">
        <v>234</v>
      </c>
      <c r="O155" s="211">
        <f>ROUNDDOWN('7990NTP-NP'!N48-('7990NTP-NP'!N48*0.235),2)</f>
        <v>0</v>
      </c>
      <c r="P155" s="233">
        <f>'7990NTP-NP'!F48</f>
        <v>0</v>
      </c>
      <c r="Q155" s="248" t="s">
        <v>233</v>
      </c>
      <c r="R155" s="210" t="s">
        <v>234</v>
      </c>
      <c r="S155" s="211">
        <f>ROUNDDOWN('7990NTP-NP'!O48-('7990NTP-NP'!O48*0.235),2)</f>
        <v>0</v>
      </c>
      <c r="T155" s="233">
        <f>'7990NTP-NP'!G48</f>
        <v>0</v>
      </c>
      <c r="U155" s="248" t="s">
        <v>233</v>
      </c>
      <c r="V155" s="210" t="s">
        <v>234</v>
      </c>
      <c r="W155" s="211">
        <f>ROUNDDOWN('7990NTP-NP'!P48-('7990NTP-NP'!P48*0.235),2)</f>
        <v>0</v>
      </c>
      <c r="X155" s="233">
        <f>'7990NTP-NP'!H48</f>
        <v>0</v>
      </c>
      <c r="Y155" s="248" t="s">
        <v>233</v>
      </c>
      <c r="Z155" s="210" t="s">
        <v>234</v>
      </c>
      <c r="AA155" s="211">
        <f>ROUNDDOWN('7990NTP-NP'!Q48-('7990NTP-NP'!Q48*0.235),2)</f>
        <v>0</v>
      </c>
      <c r="AB155" s="233">
        <f>'7990NTP-NP'!I48</f>
        <v>0</v>
      </c>
      <c r="AC155" s="216">
        <f>IF(C155+G155+K155+O155+S155+W155+AA155&gt;0,C155+G155+K155+O155+S155+W155+AA155,0)</f>
        <v>0</v>
      </c>
      <c r="AD155" s="167"/>
    </row>
    <row r="156" spans="1:30" ht="63" hidden="1" x14ac:dyDescent="0.3">
      <c r="A156" s="251" t="s">
        <v>379</v>
      </c>
      <c r="B156" s="210" t="s">
        <v>380</v>
      </c>
      <c r="C156" s="211">
        <f>ROUNDUP('7990NTP-NP'!$K$48*0.235,2)</f>
        <v>0</v>
      </c>
      <c r="D156" s="221"/>
      <c r="E156" s="248" t="s">
        <v>379</v>
      </c>
      <c r="F156" s="213" t="s">
        <v>380</v>
      </c>
      <c r="G156" s="211">
        <f>ROUNDUP('7990NTP-NP'!$L$48*0.235,2)</f>
        <v>0</v>
      </c>
      <c r="H156" s="221"/>
      <c r="I156" s="248" t="s">
        <v>379</v>
      </c>
      <c r="J156" s="210" t="s">
        <v>380</v>
      </c>
      <c r="K156" s="211">
        <f>ROUNDUP('7990NTP-NP'!M48*0.235,2)</f>
        <v>0</v>
      </c>
      <c r="L156" s="221"/>
      <c r="M156" s="248" t="s">
        <v>235</v>
      </c>
      <c r="N156" s="210" t="s">
        <v>236</v>
      </c>
      <c r="O156" s="211">
        <f>ROUNDUP('7990NTP-NP'!N48*0.235,2)</f>
        <v>0</v>
      </c>
      <c r="P156" s="221"/>
      <c r="Q156" s="248" t="s">
        <v>235</v>
      </c>
      <c r="R156" s="210" t="s">
        <v>236</v>
      </c>
      <c r="S156" s="211">
        <f>ROUNDUP('7990NTP-NP'!O48*0.235,2)</f>
        <v>0</v>
      </c>
      <c r="T156" s="221"/>
      <c r="U156" s="248" t="s">
        <v>235</v>
      </c>
      <c r="V156" s="210" t="s">
        <v>236</v>
      </c>
      <c r="W156" s="211">
        <f>ROUNDUP('7990NTP-NP'!P48*0.235,2)</f>
        <v>0</v>
      </c>
      <c r="X156" s="221"/>
      <c r="Y156" s="248" t="s">
        <v>235</v>
      </c>
      <c r="Z156" s="210" t="s">
        <v>236</v>
      </c>
      <c r="AA156" s="211">
        <f>ROUNDUP('7990NTP-NP'!Q48*0.235,2)</f>
        <v>0</v>
      </c>
      <c r="AB156" s="221"/>
      <c r="AC156" s="216">
        <f>IF(C156+G156+K156+O156+S156+W156+AA156&gt;0,C156+G156+K156+O156+S156+W156+AA156,0)</f>
        <v>0</v>
      </c>
      <c r="AD156" s="167"/>
    </row>
    <row r="157" spans="1:30" ht="14" hidden="1" x14ac:dyDescent="0.3">
      <c r="A157" s="209"/>
      <c r="B157" s="210"/>
      <c r="C157" s="217"/>
      <c r="D157" s="221"/>
      <c r="E157" s="209"/>
      <c r="F157" s="213"/>
      <c r="G157" s="222"/>
      <c r="H157" s="221"/>
      <c r="I157" s="209"/>
      <c r="J157" s="210"/>
      <c r="K157" s="222"/>
      <c r="L157" s="221"/>
      <c r="M157" s="209"/>
      <c r="N157" s="210"/>
      <c r="O157" s="222"/>
      <c r="P157" s="221"/>
      <c r="Q157" s="209"/>
      <c r="R157" s="210"/>
      <c r="S157" s="222"/>
      <c r="T157" s="221"/>
      <c r="U157" s="209"/>
      <c r="V157" s="210"/>
      <c r="W157" s="222"/>
      <c r="X157" s="221"/>
      <c r="Y157" s="209"/>
      <c r="Z157" s="210"/>
      <c r="AA157" s="222"/>
      <c r="AB157" s="221"/>
      <c r="AC157" s="216"/>
      <c r="AD157" s="167"/>
    </row>
    <row r="158" spans="1:30" ht="75.5" hidden="1" x14ac:dyDescent="0.3">
      <c r="A158" s="251" t="s">
        <v>381</v>
      </c>
      <c r="B158" s="210" t="s">
        <v>383</v>
      </c>
      <c r="C158" s="211">
        <f>ROUNDDOWN('7990NTP-NP'!$K$49-('7990NTP-NP'!$K$49*0.1916),2)</f>
        <v>0</v>
      </c>
      <c r="D158" s="233">
        <f>'7990NTP-NP'!C49</f>
        <v>0</v>
      </c>
      <c r="E158" s="248" t="s">
        <v>381</v>
      </c>
      <c r="F158" s="213" t="s">
        <v>383</v>
      </c>
      <c r="G158" s="211">
        <f>ROUNDDOWN('7990NTP-NP'!$L$49-('7990NTP-NP'!$L$49*0.1916),2)</f>
        <v>0</v>
      </c>
      <c r="H158" s="233">
        <f>'7990NTP-NP'!D49</f>
        <v>0</v>
      </c>
      <c r="I158" s="248" t="s">
        <v>381</v>
      </c>
      <c r="J158" s="210" t="s">
        <v>383</v>
      </c>
      <c r="K158" s="211">
        <f>ROUNDDOWN('7990NTP-NP'!M49-('7990NTP-NP'!M49*0.1916),2)</f>
        <v>0</v>
      </c>
      <c r="L158" s="233">
        <f>'7990NTP-NP'!E49</f>
        <v>0</v>
      </c>
      <c r="M158" s="248" t="s">
        <v>237</v>
      </c>
      <c r="N158" s="210" t="s">
        <v>238</v>
      </c>
      <c r="O158" s="211">
        <f>ROUNDDOWN('7990NTP-NP'!N49-('7990NTP-NP'!N49*0.1916),2)</f>
        <v>0</v>
      </c>
      <c r="P158" s="233">
        <f>'7990NTP-NP'!F49</f>
        <v>0</v>
      </c>
      <c r="Q158" s="248" t="s">
        <v>237</v>
      </c>
      <c r="R158" s="210" t="s">
        <v>238</v>
      </c>
      <c r="S158" s="211">
        <f>ROUNDDOWN('7990NTP-NP'!O49-('7990NTP-NP'!O49*0.1916),2)</f>
        <v>0</v>
      </c>
      <c r="T158" s="233">
        <f>'7990NTP-NP'!G49</f>
        <v>0</v>
      </c>
      <c r="U158" s="248" t="s">
        <v>237</v>
      </c>
      <c r="V158" s="210" t="s">
        <v>238</v>
      </c>
      <c r="W158" s="211">
        <f>ROUNDDOWN('7990NTP-NP'!P49-('7990NTP-NP'!P49*0.1916),2)</f>
        <v>0</v>
      </c>
      <c r="X158" s="233">
        <f>'7990NTP-NP'!H49</f>
        <v>0</v>
      </c>
      <c r="Y158" s="248" t="s">
        <v>237</v>
      </c>
      <c r="Z158" s="210" t="s">
        <v>238</v>
      </c>
      <c r="AA158" s="211">
        <f>ROUNDDOWN('7990NTP-NP'!Q49-('7990NTP-NP'!Q49*0.1916),2)</f>
        <v>0</v>
      </c>
      <c r="AB158" s="233">
        <f>'7990NTP-NP'!I49</f>
        <v>0</v>
      </c>
      <c r="AC158" s="216">
        <f>IF(C158+G158+K158+O158+S158+W158+AA158&gt;0,C158+G158+K158+O158+S158+W158+AA158,0)</f>
        <v>0</v>
      </c>
      <c r="AD158" s="167"/>
    </row>
    <row r="159" spans="1:30" ht="75.5" hidden="1" x14ac:dyDescent="0.3">
      <c r="A159" s="251" t="s">
        <v>382</v>
      </c>
      <c r="B159" s="210" t="s">
        <v>384</v>
      </c>
      <c r="C159" s="211">
        <f>ROUNDUP('7990NTP-NP'!$K$49*0.1916,2)</f>
        <v>0</v>
      </c>
      <c r="D159" s="221"/>
      <c r="E159" s="248" t="s">
        <v>382</v>
      </c>
      <c r="F159" s="213" t="s">
        <v>384</v>
      </c>
      <c r="G159" s="211">
        <f>ROUNDUP('7990NTP-NP'!$L$49*0.1916,2)</f>
        <v>0</v>
      </c>
      <c r="H159" s="221"/>
      <c r="I159" s="248" t="s">
        <v>382</v>
      </c>
      <c r="J159" s="210" t="s">
        <v>384</v>
      </c>
      <c r="K159" s="211">
        <f>ROUNDUP('7990NTP-NP'!M49*0.1916,2)</f>
        <v>0</v>
      </c>
      <c r="L159" s="221"/>
      <c r="M159" s="248" t="s">
        <v>239</v>
      </c>
      <c r="N159" s="210" t="s">
        <v>240</v>
      </c>
      <c r="O159" s="211">
        <f>ROUNDUP('7990NTP-NP'!N49*0.1916,2)</f>
        <v>0</v>
      </c>
      <c r="P159" s="221"/>
      <c r="Q159" s="248" t="s">
        <v>239</v>
      </c>
      <c r="R159" s="210" t="s">
        <v>240</v>
      </c>
      <c r="S159" s="211">
        <f>ROUNDUP('7990NTP-NP'!O49*0.1916,2)</f>
        <v>0</v>
      </c>
      <c r="T159" s="221"/>
      <c r="U159" s="248" t="s">
        <v>239</v>
      </c>
      <c r="V159" s="210" t="s">
        <v>240</v>
      </c>
      <c r="W159" s="211">
        <f>ROUNDUP('7990NTP-NP'!P49*0.1916,2)</f>
        <v>0</v>
      </c>
      <c r="X159" s="221"/>
      <c r="Y159" s="248" t="s">
        <v>239</v>
      </c>
      <c r="Z159" s="210" t="s">
        <v>240</v>
      </c>
      <c r="AA159" s="211">
        <f>ROUNDUP('7990NTP-NP'!Q49*0.1916,2)</f>
        <v>0</v>
      </c>
      <c r="AB159" s="221"/>
      <c r="AC159" s="216">
        <f>IF(C159+G159+K159+O159+S159+W159+AA159&gt;0,C159+G159+K159+O159+S159+W159+AA159,0)</f>
        <v>0</v>
      </c>
      <c r="AD159" s="167"/>
    </row>
    <row r="160" spans="1:30" ht="14" hidden="1" x14ac:dyDescent="0.3">
      <c r="A160" s="209"/>
      <c r="B160" s="210"/>
      <c r="C160" s="217"/>
      <c r="D160" s="221"/>
      <c r="E160" s="219"/>
      <c r="F160" s="213"/>
      <c r="G160" s="222"/>
      <c r="H160" s="221"/>
      <c r="I160" s="219"/>
      <c r="J160" s="210"/>
      <c r="K160" s="222"/>
      <c r="L160" s="221"/>
      <c r="M160" s="219"/>
      <c r="N160" s="210"/>
      <c r="O160" s="222"/>
      <c r="P160" s="221"/>
      <c r="Q160" s="219"/>
      <c r="R160" s="210"/>
      <c r="S160" s="222"/>
      <c r="T160" s="221"/>
      <c r="U160" s="219"/>
      <c r="V160" s="210"/>
      <c r="W160" s="222"/>
      <c r="X160" s="221"/>
      <c r="Y160" s="219"/>
      <c r="Z160" s="210"/>
      <c r="AA160" s="222"/>
      <c r="AB160" s="221"/>
      <c r="AC160" s="216"/>
      <c r="AD160" s="167"/>
    </row>
    <row r="161" spans="1:30" ht="38" hidden="1" x14ac:dyDescent="0.3">
      <c r="A161" s="209" t="s">
        <v>104</v>
      </c>
      <c r="B161" s="210" t="s">
        <v>105</v>
      </c>
      <c r="C161" s="211" t="e">
        <f>SUM('7990NTP-NP'!#REF!*1)</f>
        <v>#REF!</v>
      </c>
      <c r="D161" s="233" t="e">
        <f>'7990NTP-NP'!#REF!</f>
        <v>#REF!</v>
      </c>
      <c r="E161" s="209" t="s">
        <v>104</v>
      </c>
      <c r="F161" s="213" t="s">
        <v>105</v>
      </c>
      <c r="G161" s="211" t="e">
        <f>SUM('7990NTP-NP'!#REF!*1)</f>
        <v>#REF!</v>
      </c>
      <c r="H161" s="233" t="e">
        <f>'7990NTP-NP'!#REF!</f>
        <v>#REF!</v>
      </c>
      <c r="I161" s="209" t="s">
        <v>104</v>
      </c>
      <c r="J161" s="210" t="s">
        <v>105</v>
      </c>
      <c r="K161" s="211" t="e">
        <f>SUM('7990NTP-NP'!#REF!*1)</f>
        <v>#REF!</v>
      </c>
      <c r="L161" s="233" t="e">
        <f>'7990NTP-NP'!#REF!</f>
        <v>#REF!</v>
      </c>
      <c r="M161" s="209" t="s">
        <v>326</v>
      </c>
      <c r="N161" s="210" t="s">
        <v>327</v>
      </c>
      <c r="O161" s="211" t="e">
        <f>SUM('7990NTP-NP'!#REF!*1)</f>
        <v>#REF!</v>
      </c>
      <c r="P161" s="233" t="e">
        <f>'7990NTP-NP'!#REF!</f>
        <v>#REF!</v>
      </c>
      <c r="Q161" s="209" t="s">
        <v>326</v>
      </c>
      <c r="R161" s="210" t="s">
        <v>327</v>
      </c>
      <c r="S161" s="211" t="e">
        <f>SUM('7990NTP-NP'!#REF!*1)</f>
        <v>#REF!</v>
      </c>
      <c r="T161" s="233" t="e">
        <f>'7990NTP-NP'!#REF!</f>
        <v>#REF!</v>
      </c>
      <c r="U161" s="219" t="s">
        <v>326</v>
      </c>
      <c r="V161" s="210" t="s">
        <v>327</v>
      </c>
      <c r="W161" s="211" t="e">
        <f>SUM('7990NTP-NP'!#REF!*1)</f>
        <v>#REF!</v>
      </c>
      <c r="X161" s="233" t="e">
        <f>'7990NTP-NP'!#REF!</f>
        <v>#REF!</v>
      </c>
      <c r="Y161" s="219" t="s">
        <v>326</v>
      </c>
      <c r="Z161" s="210" t="s">
        <v>327</v>
      </c>
      <c r="AA161" s="211" t="e">
        <f>SUM('7990NTP-NP'!#REF!*1)</f>
        <v>#REF!</v>
      </c>
      <c r="AB161" s="233" t="e">
        <f>'7990NTP-NP'!#REF!</f>
        <v>#REF!</v>
      </c>
      <c r="AC161" s="216" t="e">
        <f>IF(C161+G161+K161+O161+S161+W161+AA161&gt;0,C161+G161+K161+O161+S161+W161+AA161,0)</f>
        <v>#REF!</v>
      </c>
      <c r="AD161" s="167"/>
    </row>
    <row r="162" spans="1:30" ht="14" hidden="1" x14ac:dyDescent="0.3">
      <c r="A162" s="209"/>
      <c r="B162" s="120"/>
      <c r="C162" s="252"/>
      <c r="D162" s="253"/>
      <c r="E162" s="154"/>
      <c r="F162" s="254"/>
      <c r="G162" s="255"/>
      <c r="H162" s="253"/>
      <c r="I162" s="154"/>
      <c r="J162" s="120"/>
      <c r="K162" s="255"/>
      <c r="L162" s="253"/>
      <c r="M162" s="154"/>
      <c r="N162" s="120"/>
      <c r="O162" s="255"/>
      <c r="P162" s="253"/>
      <c r="Q162" s="154"/>
      <c r="R162" s="120"/>
      <c r="S162" s="255"/>
      <c r="T162" s="253"/>
      <c r="U162" s="154"/>
      <c r="V162" s="120"/>
      <c r="W162" s="255"/>
      <c r="X162" s="253"/>
      <c r="Y162" s="154"/>
      <c r="Z162" s="120"/>
      <c r="AA162" s="255"/>
      <c r="AB162" s="253"/>
      <c r="AC162" s="216"/>
      <c r="AD162" s="167"/>
    </row>
    <row r="163" spans="1:30" ht="98" x14ac:dyDescent="0.3">
      <c r="A163" s="472" t="s">
        <v>695</v>
      </c>
      <c r="B163" s="473" t="s">
        <v>687</v>
      </c>
      <c r="C163" s="211">
        <f>SUM('7990NTP-NP'!$K$62*1)</f>
        <v>0</v>
      </c>
      <c r="D163" s="233">
        <f>'7990NTP-NP'!$C$62</f>
        <v>0</v>
      </c>
      <c r="E163" s="481" t="s">
        <v>695</v>
      </c>
      <c r="F163" s="473" t="s">
        <v>687</v>
      </c>
      <c r="G163" s="211">
        <f>SUM('7990NTP-NP'!$L$62*1)</f>
        <v>0</v>
      </c>
      <c r="H163" s="233">
        <f>'7990NTP-NP'!$D$62</f>
        <v>0</v>
      </c>
      <c r="I163" s="481" t="s">
        <v>695</v>
      </c>
      <c r="J163" s="473" t="s">
        <v>687</v>
      </c>
      <c r="K163" s="211">
        <f>SUM('7990NTP-NP'!$M$62*1)</f>
        <v>0</v>
      </c>
      <c r="L163" s="224">
        <f>'7990NTP-NP'!$E$62</f>
        <v>0</v>
      </c>
      <c r="M163" s="481" t="s">
        <v>694</v>
      </c>
      <c r="N163" s="468" t="s">
        <v>693</v>
      </c>
      <c r="O163" s="211">
        <f>SUM('7990NTP-NP'!$N$62*1)</f>
        <v>0</v>
      </c>
      <c r="P163" s="233">
        <f>'7990NTP-NP'!$F$62</f>
        <v>0</v>
      </c>
      <c r="Q163" s="481" t="s">
        <v>694</v>
      </c>
      <c r="R163" s="468" t="s">
        <v>693</v>
      </c>
      <c r="S163" s="211">
        <f>SUM('7990NTP-NP'!$O$62*1)</f>
        <v>0</v>
      </c>
      <c r="T163" s="224">
        <f>'7990NTP-NP'!$G$62</f>
        <v>0</v>
      </c>
      <c r="U163" s="482" t="s">
        <v>694</v>
      </c>
      <c r="V163" s="468" t="s">
        <v>693</v>
      </c>
      <c r="W163" s="211">
        <f>SUM('7990NTP-NP'!$P$62*1)</f>
        <v>0</v>
      </c>
      <c r="X163" s="233">
        <f>'7990NTP-NP'!$H$62</f>
        <v>0</v>
      </c>
      <c r="Y163" s="481" t="s">
        <v>694</v>
      </c>
      <c r="Z163" s="468" t="s">
        <v>693</v>
      </c>
      <c r="AA163" s="211">
        <f>SUM('7990NTP-NP'!$Q$62*1)</f>
        <v>0</v>
      </c>
      <c r="AB163" s="233">
        <f>'7990NTP-NP'!$I$62</f>
        <v>0</v>
      </c>
      <c r="AC163" s="216">
        <f>IF(C163+G163+K163+O163+S163+W163+AA163&gt;0,C163+G163+K163+O163+S163+W163+AA163,0)</f>
        <v>0</v>
      </c>
      <c r="AD163" s="167"/>
    </row>
    <row r="164" spans="1:30" ht="14" hidden="1" x14ac:dyDescent="0.3">
      <c r="A164" s="209"/>
      <c r="B164" s="120"/>
      <c r="C164" s="252"/>
      <c r="D164" s="253"/>
      <c r="E164" s="154"/>
      <c r="F164" s="254"/>
      <c r="G164" s="255"/>
      <c r="H164" s="253"/>
      <c r="I164" s="154"/>
      <c r="J164" s="120"/>
      <c r="K164" s="255"/>
      <c r="L164" s="253"/>
      <c r="M164" s="154"/>
      <c r="N164" s="120"/>
      <c r="O164" s="255"/>
      <c r="P164" s="253"/>
      <c r="Q164" s="154"/>
      <c r="R164" s="120"/>
      <c r="S164" s="255"/>
      <c r="T164" s="253"/>
      <c r="U164" s="154"/>
      <c r="V164" s="120"/>
      <c r="W164" s="255"/>
      <c r="X164" s="253"/>
      <c r="Y164" s="154"/>
      <c r="Z164" s="120"/>
      <c r="AA164" s="255"/>
      <c r="AB164" s="253"/>
      <c r="AC164" s="216"/>
      <c r="AD164" s="167"/>
    </row>
    <row r="165" spans="1:30" ht="65" hidden="1" customHeight="1" x14ac:dyDescent="0.3">
      <c r="A165" s="209" t="s">
        <v>109</v>
      </c>
      <c r="B165" s="210" t="s">
        <v>110</v>
      </c>
      <c r="C165" s="211" t="e">
        <f>SUM('7990NTP-NP'!#REF!*1)</f>
        <v>#REF!</v>
      </c>
      <c r="D165" s="233" t="e">
        <f>'7990NTP-NP'!#REF!</f>
        <v>#REF!</v>
      </c>
      <c r="E165" s="209" t="s">
        <v>109</v>
      </c>
      <c r="F165" s="213" t="s">
        <v>110</v>
      </c>
      <c r="G165" s="211" t="e">
        <f>SUM('7990NTP-NP'!#REF!*1)</f>
        <v>#REF!</v>
      </c>
      <c r="H165" s="233" t="e">
        <f>'7990NTP-NP'!#REF!</f>
        <v>#REF!</v>
      </c>
      <c r="I165" s="209" t="s">
        <v>109</v>
      </c>
      <c r="J165" s="210" t="s">
        <v>110</v>
      </c>
      <c r="K165" s="211" t="e">
        <f>SUM('7990NTP-NP'!#REF!*1)</f>
        <v>#REF!</v>
      </c>
      <c r="L165" s="233" t="e">
        <f>'7990NTP-NP'!#REF!</f>
        <v>#REF!</v>
      </c>
      <c r="M165" s="219" t="s">
        <v>332</v>
      </c>
      <c r="N165" s="210" t="s">
        <v>333</v>
      </c>
      <c r="O165" s="211" t="e">
        <f>SUM('7990NTP-NP'!#REF!*1)</f>
        <v>#REF!</v>
      </c>
      <c r="P165" s="233" t="e">
        <f>'7990NTP-NP'!#REF!</f>
        <v>#REF!</v>
      </c>
      <c r="Q165" s="219" t="s">
        <v>332</v>
      </c>
      <c r="R165" s="210" t="s">
        <v>333</v>
      </c>
      <c r="S165" s="211" t="e">
        <f>SUM('7990NTP-NP'!#REF!*1)</f>
        <v>#REF!</v>
      </c>
      <c r="T165" s="233" t="e">
        <f>'7990NTP-NP'!#REF!</f>
        <v>#REF!</v>
      </c>
      <c r="U165" s="209" t="s">
        <v>332</v>
      </c>
      <c r="V165" s="210" t="s">
        <v>333</v>
      </c>
      <c r="W165" s="211" t="e">
        <f>SUM('7990NTP-NP'!#REF!*1)</f>
        <v>#REF!</v>
      </c>
      <c r="X165" s="233" t="e">
        <f>'7990NTP-NP'!#REF!</f>
        <v>#REF!</v>
      </c>
      <c r="Y165" s="209" t="s">
        <v>332</v>
      </c>
      <c r="Z165" s="210" t="s">
        <v>333</v>
      </c>
      <c r="AA165" s="211" t="e">
        <f>SUM('7990NTP-NP'!#REF!*1)</f>
        <v>#REF!</v>
      </c>
      <c r="AB165" s="233" t="e">
        <f>'7990NTP-NP'!#REF!</f>
        <v>#REF!</v>
      </c>
      <c r="AC165" s="216" t="e">
        <f>IF(C165+G165+K165+O165+S165+W165+AA165&gt;0,C165+G165+K165+O165+S165+W165+AA165,0)</f>
        <v>#REF!</v>
      </c>
      <c r="AD165" s="167"/>
    </row>
    <row r="166" spans="1:30" ht="14" hidden="1" x14ac:dyDescent="0.3">
      <c r="A166" s="209"/>
      <c r="B166" s="120"/>
      <c r="C166" s="252"/>
      <c r="D166" s="253"/>
      <c r="E166" s="154"/>
      <c r="F166" s="254"/>
      <c r="G166" s="255"/>
      <c r="H166" s="253"/>
      <c r="I166" s="154"/>
      <c r="J166" s="120"/>
      <c r="K166" s="255"/>
      <c r="L166" s="253"/>
      <c r="M166" s="154"/>
      <c r="N166" s="120"/>
      <c r="O166" s="255"/>
      <c r="P166" s="253"/>
      <c r="Q166" s="154"/>
      <c r="R166" s="120"/>
      <c r="S166" s="255"/>
      <c r="T166" s="253"/>
      <c r="U166" s="154"/>
      <c r="V166" s="120"/>
      <c r="W166" s="255"/>
      <c r="X166" s="253"/>
      <c r="Y166" s="154"/>
      <c r="Z166" s="120"/>
      <c r="AA166" s="255"/>
      <c r="AB166" s="253"/>
      <c r="AC166" s="216"/>
      <c r="AD166" s="167"/>
    </row>
    <row r="167" spans="1:30" ht="75.5" hidden="1" x14ac:dyDescent="0.3">
      <c r="A167" s="209" t="s">
        <v>116</v>
      </c>
      <c r="B167" s="210" t="s">
        <v>117</v>
      </c>
      <c r="C167" s="211">
        <f>SUM('7990NTP-NP'!$K$51*1)</f>
        <v>0</v>
      </c>
      <c r="D167" s="233">
        <f>'7990NTP-NP'!$C$51</f>
        <v>0</v>
      </c>
      <c r="E167" s="209" t="s">
        <v>116</v>
      </c>
      <c r="F167" s="213" t="s">
        <v>117</v>
      </c>
      <c r="G167" s="211">
        <f>SUM('7990NTP-NP'!$L$51*1)</f>
        <v>0</v>
      </c>
      <c r="H167" s="233">
        <f>'7990NTP-NP'!$D$51</f>
        <v>0</v>
      </c>
      <c r="I167" s="209" t="s">
        <v>116</v>
      </c>
      <c r="J167" s="210" t="s">
        <v>117</v>
      </c>
      <c r="K167" s="211">
        <f>SUM('7990NTP-NP'!M51*1)</f>
        <v>0</v>
      </c>
      <c r="L167" s="233">
        <f>'7990NTP-NP'!E51</f>
        <v>0</v>
      </c>
      <c r="M167" s="219" t="s">
        <v>324</v>
      </c>
      <c r="N167" s="210" t="s">
        <v>325</v>
      </c>
      <c r="O167" s="211">
        <f>SUM('7990NTP-NP'!N51*1)</f>
        <v>0</v>
      </c>
      <c r="P167" s="233">
        <f>'7990NTP-NP'!F51</f>
        <v>0</v>
      </c>
      <c r="Q167" s="209" t="s">
        <v>324</v>
      </c>
      <c r="R167" s="210" t="s">
        <v>400</v>
      </c>
      <c r="S167" s="211">
        <f>SUM('7990NTP-NP'!O51*1)</f>
        <v>0</v>
      </c>
      <c r="T167" s="233">
        <f>'7990NTP-NP'!G51</f>
        <v>0</v>
      </c>
      <c r="U167" s="209" t="s">
        <v>324</v>
      </c>
      <c r="V167" s="210" t="s">
        <v>400</v>
      </c>
      <c r="W167" s="211">
        <f>SUM('7990NTP-NP'!P51*1)</f>
        <v>0</v>
      </c>
      <c r="X167" s="233">
        <f>'7990NTP-NP'!H51</f>
        <v>0</v>
      </c>
      <c r="Y167" s="209" t="s">
        <v>324</v>
      </c>
      <c r="Z167" s="210" t="s">
        <v>400</v>
      </c>
      <c r="AA167" s="211">
        <f>SUM('7990NTP-NP'!Q51*1)</f>
        <v>0</v>
      </c>
      <c r="AB167" s="233">
        <f>'7990NTP-NP'!I51</f>
        <v>0</v>
      </c>
      <c r="AC167" s="216">
        <f>IF(C167+G167+K167+O167+S167+W167+AA167&gt;0,C167+G167+K167+O167+S167+W167+AA167,0)</f>
        <v>0</v>
      </c>
      <c r="AD167" s="167"/>
    </row>
    <row r="168" spans="1:30" ht="14" hidden="1" x14ac:dyDescent="0.3">
      <c r="A168" s="209"/>
      <c r="B168" s="120"/>
      <c r="C168" s="252"/>
      <c r="D168" s="253"/>
      <c r="E168" s="154"/>
      <c r="F168" s="254"/>
      <c r="G168" s="255"/>
      <c r="H168" s="253"/>
      <c r="I168" s="154"/>
      <c r="J168" s="120"/>
      <c r="K168" s="255"/>
      <c r="L168" s="253"/>
      <c r="M168" s="154"/>
      <c r="N168" s="120"/>
      <c r="O168" s="255"/>
      <c r="P168" s="253"/>
      <c r="Q168" s="154"/>
      <c r="R168" s="120"/>
      <c r="S168" s="255"/>
      <c r="T168" s="253"/>
      <c r="U168" s="154"/>
      <c r="V168" s="120"/>
      <c r="W168" s="255"/>
      <c r="X168" s="253"/>
      <c r="Y168" s="154"/>
      <c r="Z168" s="120"/>
      <c r="AA168" s="255"/>
      <c r="AB168" s="253"/>
      <c r="AC168" s="216"/>
      <c r="AD168" s="167"/>
    </row>
    <row r="169" spans="1:30" ht="75.5" hidden="1" customHeight="1" x14ac:dyDescent="0.3">
      <c r="A169" s="209" t="s">
        <v>111</v>
      </c>
      <c r="B169" s="210" t="s">
        <v>112</v>
      </c>
      <c r="C169" s="211">
        <f>SUM('7990NTP-NP'!$K$52*1)</f>
        <v>0</v>
      </c>
      <c r="D169" s="233">
        <f>'7990NTP-NP'!$C$52</f>
        <v>0</v>
      </c>
      <c r="E169" s="209" t="s">
        <v>111</v>
      </c>
      <c r="F169" s="213" t="s">
        <v>112</v>
      </c>
      <c r="G169" s="211">
        <f>SUM('7990NTP-NP'!$L$52*1)</f>
        <v>0</v>
      </c>
      <c r="H169" s="233">
        <f>'7990NTP-NP'!$D$52</f>
        <v>0</v>
      </c>
      <c r="I169" s="209" t="s">
        <v>111</v>
      </c>
      <c r="J169" s="213" t="s">
        <v>112</v>
      </c>
      <c r="K169" s="211">
        <f>SUM('7990NTP-NP'!M52*1)</f>
        <v>0</v>
      </c>
      <c r="L169" s="233">
        <f>'7990NTP-NP'!E52</f>
        <v>0</v>
      </c>
      <c r="M169" s="219" t="s">
        <v>334</v>
      </c>
      <c r="N169" s="210" t="s">
        <v>335</v>
      </c>
      <c r="O169" s="211">
        <f>SUM('7990NTP-NP'!N52*1)</f>
        <v>0</v>
      </c>
      <c r="P169" s="233">
        <f>'7990NTP-NP'!F52</f>
        <v>0</v>
      </c>
      <c r="Q169" s="209" t="s">
        <v>334</v>
      </c>
      <c r="R169" s="210" t="s">
        <v>335</v>
      </c>
      <c r="S169" s="211">
        <f>SUM('7990NTP-NP'!O52*1)</f>
        <v>0</v>
      </c>
      <c r="T169" s="233">
        <f>'7990NTP-NP'!G52</f>
        <v>0</v>
      </c>
      <c r="U169" s="209" t="s">
        <v>334</v>
      </c>
      <c r="V169" s="210" t="s">
        <v>335</v>
      </c>
      <c r="W169" s="211">
        <f>SUM('7990NTP-NP'!P52*1)</f>
        <v>0</v>
      </c>
      <c r="X169" s="233">
        <f>'7990NTP-NP'!H52</f>
        <v>0</v>
      </c>
      <c r="Y169" s="209" t="s">
        <v>334</v>
      </c>
      <c r="Z169" s="210" t="s">
        <v>335</v>
      </c>
      <c r="AA169" s="211">
        <f>SUM('7990NTP-NP'!Q52*1)</f>
        <v>0</v>
      </c>
      <c r="AB169" s="233">
        <f>'7990NTP-NP'!I52</f>
        <v>0</v>
      </c>
      <c r="AC169" s="216">
        <f>IF(C169+G169+K169+O169+S169+W169+AA169&gt;0,C169+G169+K169+O169+S169+W169+AA169,0)</f>
        <v>0</v>
      </c>
      <c r="AD169" s="167"/>
    </row>
    <row r="170" spans="1:30" ht="14" hidden="1" x14ac:dyDescent="0.3">
      <c r="A170" s="209"/>
      <c r="B170" s="120"/>
      <c r="C170" s="252"/>
      <c r="D170" s="253"/>
      <c r="E170" s="154"/>
      <c r="F170" s="254"/>
      <c r="G170" s="255"/>
      <c r="H170" s="253"/>
      <c r="I170" s="154"/>
      <c r="J170" s="120"/>
      <c r="K170" s="255"/>
      <c r="L170" s="253"/>
      <c r="M170" s="154"/>
      <c r="N170" s="120"/>
      <c r="O170" s="255"/>
      <c r="P170" s="253"/>
      <c r="Q170" s="154"/>
      <c r="R170" s="120"/>
      <c r="S170" s="255"/>
      <c r="T170" s="253"/>
      <c r="U170" s="154"/>
      <c r="V170" s="120"/>
      <c r="W170" s="255"/>
      <c r="X170" s="253"/>
      <c r="Y170" s="154"/>
      <c r="Z170" s="120"/>
      <c r="AA170" s="255"/>
      <c r="AB170" s="253"/>
      <c r="AC170" s="216"/>
      <c r="AD170" s="167"/>
    </row>
    <row r="171" spans="1:30" ht="63" hidden="1" x14ac:dyDescent="0.3">
      <c r="A171" s="209" t="s">
        <v>113</v>
      </c>
      <c r="B171" s="210" t="s">
        <v>114</v>
      </c>
      <c r="C171" s="211" t="e">
        <f>SUM('7990NTP-NP'!#REF!*1)</f>
        <v>#REF!</v>
      </c>
      <c r="D171" s="233" t="e">
        <f>'7990NTP-NP'!#REF!</f>
        <v>#REF!</v>
      </c>
      <c r="E171" s="209" t="s">
        <v>113</v>
      </c>
      <c r="F171" s="213" t="s">
        <v>114</v>
      </c>
      <c r="G171" s="211" t="e">
        <f>SUM('7990NTP-NP'!#REF!*1)</f>
        <v>#REF!</v>
      </c>
      <c r="H171" s="233" t="e">
        <f>'7990NTP-NP'!#REF!</f>
        <v>#REF!</v>
      </c>
      <c r="I171" s="209" t="s">
        <v>113</v>
      </c>
      <c r="J171" s="210" t="s">
        <v>114</v>
      </c>
      <c r="K171" s="211" t="e">
        <f>SUM('7990NTP-NP'!#REF!*1)</f>
        <v>#REF!</v>
      </c>
      <c r="L171" s="233" t="e">
        <f>'7990NTP-NP'!#REF!</f>
        <v>#REF!</v>
      </c>
      <c r="M171" s="219" t="s">
        <v>336</v>
      </c>
      <c r="N171" s="210" t="s">
        <v>337</v>
      </c>
      <c r="O171" s="211" t="e">
        <f>SUM('7990NTP-NP'!#REF!*1)</f>
        <v>#REF!</v>
      </c>
      <c r="P171" s="233" t="e">
        <f>'7990NTP-NP'!#REF!</f>
        <v>#REF!</v>
      </c>
      <c r="Q171" s="209" t="s">
        <v>336</v>
      </c>
      <c r="R171" s="210" t="s">
        <v>337</v>
      </c>
      <c r="S171" s="211" t="e">
        <f>SUM('7990NTP-NP'!#REF!*1)</f>
        <v>#REF!</v>
      </c>
      <c r="T171" s="233" t="e">
        <f>'7990NTP-NP'!#REF!</f>
        <v>#REF!</v>
      </c>
      <c r="U171" s="209" t="s">
        <v>336</v>
      </c>
      <c r="V171" s="210" t="s">
        <v>337</v>
      </c>
      <c r="W171" s="211" t="e">
        <f>SUM('7990NTP-NP'!#REF!*1)</f>
        <v>#REF!</v>
      </c>
      <c r="X171" s="233" t="e">
        <f>'7990NTP-NP'!#REF!</f>
        <v>#REF!</v>
      </c>
      <c r="Y171" s="209" t="s">
        <v>336</v>
      </c>
      <c r="Z171" s="210" t="s">
        <v>337</v>
      </c>
      <c r="AA171" s="211" t="e">
        <f>SUM('7990NTP-NP'!#REF!*1)</f>
        <v>#REF!</v>
      </c>
      <c r="AB171" s="233" t="e">
        <f>'7990NTP-NP'!#REF!</f>
        <v>#REF!</v>
      </c>
      <c r="AC171" s="216" t="e">
        <f>IF(C171+G171+K171+O171+S171+W171+AA171&gt;0,C171+G171+K171+O171+S171+W171+AA171,0)</f>
        <v>#REF!</v>
      </c>
      <c r="AD171" s="167"/>
    </row>
    <row r="172" spans="1:30" ht="14" hidden="1" x14ac:dyDescent="0.3">
      <c r="A172" s="209"/>
      <c r="B172" s="210"/>
      <c r="C172" s="211"/>
      <c r="D172" s="233"/>
      <c r="E172" s="219"/>
      <c r="F172" s="213"/>
      <c r="G172" s="211"/>
      <c r="H172" s="233"/>
      <c r="I172" s="219"/>
      <c r="J172" s="210"/>
      <c r="K172" s="211"/>
      <c r="L172" s="233"/>
      <c r="M172" s="219"/>
      <c r="N172" s="210"/>
      <c r="O172" s="211"/>
      <c r="P172" s="233"/>
      <c r="Q172" s="219"/>
      <c r="R172" s="210"/>
      <c r="S172" s="211"/>
      <c r="T172" s="233"/>
      <c r="U172" s="219"/>
      <c r="V172" s="210"/>
      <c r="W172" s="211"/>
      <c r="X172" s="233"/>
      <c r="Y172" s="219"/>
      <c r="Z172" s="210"/>
      <c r="AA172" s="211"/>
      <c r="AB172" s="233"/>
      <c r="AC172" s="216"/>
      <c r="AD172" s="167"/>
    </row>
    <row r="173" spans="1:30" ht="63" hidden="1" x14ac:dyDescent="0.3">
      <c r="A173" s="247" t="s">
        <v>276</v>
      </c>
      <c r="B173" s="210" t="s">
        <v>273</v>
      </c>
      <c r="C173" s="211">
        <f>SUM('7990NTP-NP'!$K$54*1)</f>
        <v>0</v>
      </c>
      <c r="D173" s="233">
        <f>'7990NTP-NP'!$C$54</f>
        <v>0</v>
      </c>
      <c r="E173" s="248" t="s">
        <v>276</v>
      </c>
      <c r="F173" s="213" t="s">
        <v>273</v>
      </c>
      <c r="G173" s="211">
        <f>SUM('7990NTP-NP'!$L$54*1)</f>
        <v>0</v>
      </c>
      <c r="H173" s="233">
        <f>'7990NTP-NP'!$D$54</f>
        <v>0</v>
      </c>
      <c r="I173" s="248" t="s">
        <v>276</v>
      </c>
      <c r="J173" s="210" t="s">
        <v>273</v>
      </c>
      <c r="K173" s="211">
        <f>SUM('7990NTP-NP'!M54*1)</f>
        <v>0</v>
      </c>
      <c r="L173" s="233">
        <f>'7990NTP-NP'!E54</f>
        <v>0</v>
      </c>
      <c r="M173" s="248" t="s">
        <v>394</v>
      </c>
      <c r="N173" s="210" t="s">
        <v>395</v>
      </c>
      <c r="O173" s="211">
        <f>SUM('7990NTP-NP'!N54*1)</f>
        <v>0</v>
      </c>
      <c r="P173" s="233">
        <f>'7990NTP-NP'!F54</f>
        <v>0</v>
      </c>
      <c r="Q173" s="248" t="s">
        <v>394</v>
      </c>
      <c r="R173" s="210" t="s">
        <v>395</v>
      </c>
      <c r="S173" s="211">
        <f>SUM('7990NTP-NP'!O54*1)</f>
        <v>0</v>
      </c>
      <c r="T173" s="233">
        <f>'7990NTP-NP'!G54</f>
        <v>0</v>
      </c>
      <c r="U173" s="248" t="s">
        <v>394</v>
      </c>
      <c r="V173" s="210" t="s">
        <v>395</v>
      </c>
      <c r="W173" s="211">
        <f>SUM('7990NTP-NP'!P54*1)</f>
        <v>0</v>
      </c>
      <c r="X173" s="233">
        <f>'7990NTP-NP'!H54</f>
        <v>0</v>
      </c>
      <c r="Y173" s="248" t="s">
        <v>394</v>
      </c>
      <c r="Z173" s="210" t="s">
        <v>395</v>
      </c>
      <c r="AA173" s="211">
        <f>SUM('7990NTP-NP'!Q54*1)</f>
        <v>0</v>
      </c>
      <c r="AB173" s="233">
        <f>'7990NTP-NP'!I54</f>
        <v>0</v>
      </c>
      <c r="AC173" s="216">
        <f>IF(C173+G173+K173+O173+S173+W173+AA173&gt;0,C173+G173+K173+O173+S173+W173+AA173,0)</f>
        <v>0</v>
      </c>
      <c r="AD173" s="167"/>
    </row>
    <row r="174" spans="1:30" ht="14" hidden="1" x14ac:dyDescent="0.3">
      <c r="A174" s="243"/>
      <c r="B174" s="210"/>
      <c r="C174" s="211"/>
      <c r="D174" s="233"/>
      <c r="E174" s="219"/>
      <c r="F174" s="213"/>
      <c r="G174" s="211"/>
      <c r="H174" s="233"/>
      <c r="I174" s="219"/>
      <c r="J174" s="210"/>
      <c r="K174" s="211"/>
      <c r="L174" s="233"/>
      <c r="M174" s="219"/>
      <c r="N174" s="210"/>
      <c r="O174" s="211"/>
      <c r="P174" s="233"/>
      <c r="Q174" s="219"/>
      <c r="R174" s="210"/>
      <c r="S174" s="211"/>
      <c r="T174" s="233"/>
      <c r="U174" s="219"/>
      <c r="V174" s="210"/>
      <c r="W174" s="211"/>
      <c r="X174" s="233"/>
      <c r="Y174" s="219"/>
      <c r="Z174" s="210"/>
      <c r="AA174" s="211"/>
      <c r="AB174" s="233"/>
      <c r="AC174" s="216"/>
      <c r="AD174" s="167"/>
    </row>
    <row r="175" spans="1:30" ht="64" hidden="1" customHeight="1" x14ac:dyDescent="0.3">
      <c r="A175" s="247" t="s">
        <v>277</v>
      </c>
      <c r="B175" s="210" t="s">
        <v>274</v>
      </c>
      <c r="C175" s="211">
        <f>SUM('7990NTP-NP'!$K$55*1)</f>
        <v>0</v>
      </c>
      <c r="D175" s="233">
        <f>'7990NTP-NP'!$C$55</f>
        <v>0</v>
      </c>
      <c r="E175" s="248" t="s">
        <v>277</v>
      </c>
      <c r="F175" s="213" t="s">
        <v>274</v>
      </c>
      <c r="G175" s="211">
        <f>SUM('7990NTP-NP'!$L$55*1)</f>
        <v>0</v>
      </c>
      <c r="H175" s="233">
        <f>'7990NTP-NP'!$D$55</f>
        <v>0</v>
      </c>
      <c r="I175" s="248" t="s">
        <v>277</v>
      </c>
      <c r="J175" s="210" t="s">
        <v>274</v>
      </c>
      <c r="K175" s="211">
        <f>SUM('7990NTP-NP'!M55*1)</f>
        <v>0</v>
      </c>
      <c r="L175" s="233">
        <f>'7990NTP-NP'!E55</f>
        <v>0</v>
      </c>
      <c r="M175" s="248" t="s">
        <v>397</v>
      </c>
      <c r="N175" s="210" t="s">
        <v>398</v>
      </c>
      <c r="O175" s="211">
        <f>SUM('7990NTP-NP'!N55*1)</f>
        <v>0</v>
      </c>
      <c r="P175" s="233">
        <f>'7990NTP-NP'!F55</f>
        <v>0</v>
      </c>
      <c r="Q175" s="248" t="s">
        <v>397</v>
      </c>
      <c r="R175" s="210" t="s">
        <v>398</v>
      </c>
      <c r="S175" s="211">
        <f>SUM('7990NTP-NP'!O55*1)</f>
        <v>0</v>
      </c>
      <c r="T175" s="233">
        <f>'7990NTP-NP'!G55</f>
        <v>0</v>
      </c>
      <c r="U175" s="248" t="s">
        <v>397</v>
      </c>
      <c r="V175" s="210" t="s">
        <v>398</v>
      </c>
      <c r="W175" s="211">
        <f>SUM('7990NTP-NP'!P55*1)</f>
        <v>0</v>
      </c>
      <c r="X175" s="233">
        <f>'7990NTP-NP'!H55</f>
        <v>0</v>
      </c>
      <c r="Y175" s="248" t="s">
        <v>397</v>
      </c>
      <c r="Z175" s="210" t="s">
        <v>398</v>
      </c>
      <c r="AA175" s="211">
        <f>SUM('7990NTP-NP'!Q55*1)</f>
        <v>0</v>
      </c>
      <c r="AB175" s="233">
        <f>'7990NTP-NP'!I55</f>
        <v>0</v>
      </c>
      <c r="AC175" s="216">
        <f>IF(C175+G175+K175+O175+S175+W175+AA175&gt;0,C175+G175+K175+O175+S175+W175+AA175,0)</f>
        <v>0</v>
      </c>
      <c r="AD175" s="167"/>
    </row>
    <row r="176" spans="1:30" ht="14" hidden="1" x14ac:dyDescent="0.3">
      <c r="A176" s="243"/>
      <c r="B176" s="210"/>
      <c r="C176" s="211"/>
      <c r="D176" s="233"/>
      <c r="E176" s="219"/>
      <c r="F176" s="213"/>
      <c r="G176" s="211"/>
      <c r="H176" s="233"/>
      <c r="I176" s="219"/>
      <c r="J176" s="210"/>
      <c r="K176" s="211"/>
      <c r="L176" s="233"/>
      <c r="M176" s="219"/>
      <c r="N176" s="210"/>
      <c r="O176" s="211"/>
      <c r="P176" s="233"/>
      <c r="Q176" s="219"/>
      <c r="R176" s="210"/>
      <c r="S176" s="211"/>
      <c r="T176" s="233"/>
      <c r="U176" s="219"/>
      <c r="V176" s="210"/>
      <c r="W176" s="211"/>
      <c r="X176" s="233"/>
      <c r="Y176" s="219"/>
      <c r="Z176" s="210"/>
      <c r="AA176" s="211"/>
      <c r="AB176" s="233"/>
      <c r="AC176" s="216"/>
      <c r="AD176" s="167"/>
    </row>
    <row r="177" spans="1:30" ht="50.5" hidden="1" x14ac:dyDescent="0.3">
      <c r="A177" s="247" t="s">
        <v>136</v>
      </c>
      <c r="B177" s="210" t="s">
        <v>140</v>
      </c>
      <c r="C177" s="211" t="e">
        <f>ROUNDDOWN('7990NTP-NP'!#REF!*0.5,2)</f>
        <v>#REF!</v>
      </c>
      <c r="D177" s="233" t="e">
        <f>'7990NTP-NP'!#REF!</f>
        <v>#REF!</v>
      </c>
      <c r="E177" s="248" t="s">
        <v>136</v>
      </c>
      <c r="F177" s="213" t="s">
        <v>140</v>
      </c>
      <c r="G177" s="211" t="e">
        <f>ROUNDDOWN('7990NTP-NP'!#REF!*0.5,2)</f>
        <v>#REF!</v>
      </c>
      <c r="H177" s="233" t="e">
        <f>'7990NTP-NP'!#REF!</f>
        <v>#REF!</v>
      </c>
      <c r="I177" s="248" t="s">
        <v>136</v>
      </c>
      <c r="J177" s="210" t="s">
        <v>140</v>
      </c>
      <c r="K177" s="211" t="e">
        <f>ROUNDDOWN('7990NTP-NP'!#REF!*0.5,2)</f>
        <v>#REF!</v>
      </c>
      <c r="L177" s="233" t="e">
        <f>'7990NTP-NP'!#REF!</f>
        <v>#REF!</v>
      </c>
      <c r="M177" s="248" t="s">
        <v>338</v>
      </c>
      <c r="N177" s="210" t="s">
        <v>340</v>
      </c>
      <c r="O177" s="211" t="e">
        <f>ROUNDDOWN('7990NTP-NP'!#REF!*0.5,2)</f>
        <v>#REF!</v>
      </c>
      <c r="P177" s="233" t="e">
        <f>'7990NTP-NP'!#REF!</f>
        <v>#REF!</v>
      </c>
      <c r="Q177" s="219" t="s">
        <v>338</v>
      </c>
      <c r="R177" s="210" t="s">
        <v>340</v>
      </c>
      <c r="S177" s="211" t="e">
        <f>ROUNDDOWN('7990NTP-NP'!#REF!*0.5,2)</f>
        <v>#REF!</v>
      </c>
      <c r="T177" s="233" t="e">
        <f>'7990NTP-NP'!#REF!</f>
        <v>#REF!</v>
      </c>
      <c r="U177" s="219" t="s">
        <v>338</v>
      </c>
      <c r="V177" s="210" t="s">
        <v>340</v>
      </c>
      <c r="W177" s="211" t="e">
        <f>ROUNDDOWN('7990NTP-NP'!#REF!*0.5,2)</f>
        <v>#REF!</v>
      </c>
      <c r="X177" s="233" t="e">
        <f>'7990NTP-NP'!#REF!</f>
        <v>#REF!</v>
      </c>
      <c r="Y177" s="219" t="s">
        <v>338</v>
      </c>
      <c r="Z177" s="210" t="s">
        <v>340</v>
      </c>
      <c r="AA177" s="211" t="e">
        <f>ROUNDDOWN('7990NTP-NP'!#REF!*0.5,2)</f>
        <v>#REF!</v>
      </c>
      <c r="AB177" s="233" t="e">
        <f>'7990NTP-NP'!#REF!</f>
        <v>#REF!</v>
      </c>
      <c r="AC177" s="216" t="e">
        <f>IF(C177+G177+K177+O177+S177+W177+AA177&gt;0,C177+G177+K177+O177+S177+W177+AA177,0)</f>
        <v>#REF!</v>
      </c>
      <c r="AD177" s="167"/>
    </row>
    <row r="178" spans="1:30" ht="50.5" hidden="1" x14ac:dyDescent="0.3">
      <c r="A178" s="247" t="s">
        <v>137</v>
      </c>
      <c r="B178" s="210" t="s">
        <v>141</v>
      </c>
      <c r="C178" s="211" t="e">
        <f>ROUNDUP('7990NTP-NP'!#REF!*0.5,2)</f>
        <v>#REF!</v>
      </c>
      <c r="D178" s="233"/>
      <c r="E178" s="248" t="s">
        <v>137</v>
      </c>
      <c r="F178" s="213" t="s">
        <v>141</v>
      </c>
      <c r="G178" s="211" t="e">
        <f>ROUNDUP('7990NTP-NP'!#REF!*0.5,2)</f>
        <v>#REF!</v>
      </c>
      <c r="H178" s="233"/>
      <c r="I178" s="248" t="s">
        <v>137</v>
      </c>
      <c r="J178" s="210" t="s">
        <v>141</v>
      </c>
      <c r="K178" s="211" t="e">
        <f>ROUNDUP('7990NTP-NP'!#REF!*0.5,2)</f>
        <v>#REF!</v>
      </c>
      <c r="L178" s="233"/>
      <c r="M178" s="248" t="s">
        <v>339</v>
      </c>
      <c r="N178" s="210" t="s">
        <v>341</v>
      </c>
      <c r="O178" s="211" t="e">
        <f>ROUNDUP('7990NTP-NP'!#REF!*0.5,2)</f>
        <v>#REF!</v>
      </c>
      <c r="P178" s="233"/>
      <c r="Q178" s="219" t="s">
        <v>339</v>
      </c>
      <c r="R178" s="210" t="s">
        <v>341</v>
      </c>
      <c r="S178" s="211" t="e">
        <f>ROUNDUP('7990NTP-NP'!#REF!*0.5,2)</f>
        <v>#REF!</v>
      </c>
      <c r="T178" s="233"/>
      <c r="U178" s="219" t="s">
        <v>339</v>
      </c>
      <c r="V178" s="210" t="s">
        <v>341</v>
      </c>
      <c r="W178" s="211" t="e">
        <f>ROUNDUP('7990NTP-NP'!#REF!*0.5,2)</f>
        <v>#REF!</v>
      </c>
      <c r="X178" s="233"/>
      <c r="Y178" s="219" t="s">
        <v>339</v>
      </c>
      <c r="Z178" s="210" t="s">
        <v>341</v>
      </c>
      <c r="AA178" s="211" t="e">
        <f>ROUNDUP('7990NTP-NP'!#REF!*0.5,2)</f>
        <v>#REF!</v>
      </c>
      <c r="AB178" s="233"/>
      <c r="AC178" s="216" t="e">
        <f>IF(C178+G178+K178+O178+S178+W178+AA178&gt;0,C178+G178+K178+O178+S178+W178+AA178,0)</f>
        <v>#REF!</v>
      </c>
      <c r="AD178" s="167"/>
    </row>
    <row r="179" spans="1:30" ht="14" hidden="1" x14ac:dyDescent="0.3">
      <c r="A179" s="243"/>
      <c r="B179" s="210"/>
      <c r="C179" s="211"/>
      <c r="D179" s="233"/>
      <c r="E179" s="219"/>
      <c r="F179" s="213"/>
      <c r="G179" s="211"/>
      <c r="H179" s="233"/>
      <c r="I179" s="219"/>
      <c r="J179" s="210"/>
      <c r="K179" s="211"/>
      <c r="L179" s="233"/>
      <c r="M179" s="219"/>
      <c r="N179" s="210"/>
      <c r="O179" s="211"/>
      <c r="P179" s="233"/>
      <c r="Q179" s="219"/>
      <c r="R179" s="210"/>
      <c r="S179" s="211"/>
      <c r="T179" s="233"/>
      <c r="U179" s="219"/>
      <c r="V179" s="210"/>
      <c r="W179" s="211"/>
      <c r="X179" s="233"/>
      <c r="Y179" s="219"/>
      <c r="Z179" s="210"/>
      <c r="AA179" s="211"/>
      <c r="AB179" s="233"/>
      <c r="AC179" s="216"/>
      <c r="AD179" s="167"/>
    </row>
    <row r="180" spans="1:30" ht="63" hidden="1" x14ac:dyDescent="0.3">
      <c r="A180" s="247" t="s">
        <v>241</v>
      </c>
      <c r="B180" s="210" t="s">
        <v>242</v>
      </c>
      <c r="C180" s="211">
        <f>ROUNDDOWN('7990NTP-NP'!$K$57-('7990NTP-NP'!$K$57*0.438),2)</f>
        <v>0</v>
      </c>
      <c r="D180" s="233">
        <f>'7990NTP-NP'!$C$57</f>
        <v>0</v>
      </c>
      <c r="E180" s="248" t="s">
        <v>241</v>
      </c>
      <c r="F180" s="213" t="s">
        <v>242</v>
      </c>
      <c r="G180" s="211">
        <f>ROUNDDOWN('7990NTP-NP'!$L$57-('7990NTP-NP'!$L$57*0.438),2)</f>
        <v>0</v>
      </c>
      <c r="H180" s="233">
        <f>'7990NTP-NP'!$D$57</f>
        <v>0</v>
      </c>
      <c r="I180" s="248" t="s">
        <v>241</v>
      </c>
      <c r="J180" s="210" t="s">
        <v>242</v>
      </c>
      <c r="K180" s="211">
        <f>ROUNDDOWN('7990NTP-NP'!M57-('7990NTP-NP'!M57*0.438),2)</f>
        <v>0</v>
      </c>
      <c r="L180" s="233">
        <f>'7990NTP-NP'!E57</f>
        <v>0</v>
      </c>
      <c r="M180" s="248" t="s">
        <v>342</v>
      </c>
      <c r="N180" s="210" t="s">
        <v>242</v>
      </c>
      <c r="O180" s="211">
        <f>ROUNDDOWN('7990NTP-NP'!N57-('7990NTP-NP'!N57*0.438),2)</f>
        <v>0</v>
      </c>
      <c r="P180" s="233">
        <f>'7990NTP-NP'!F57</f>
        <v>0</v>
      </c>
      <c r="Q180" s="219" t="s">
        <v>342</v>
      </c>
      <c r="R180" s="210" t="s">
        <v>242</v>
      </c>
      <c r="S180" s="211">
        <f>ROUNDDOWN('7990NTP-NP'!O57-('7990NTP-NP'!O57*0.438),2)</f>
        <v>0</v>
      </c>
      <c r="T180" s="233">
        <f>'7990NTP-NP'!G57</f>
        <v>0</v>
      </c>
      <c r="U180" s="219" t="s">
        <v>342</v>
      </c>
      <c r="V180" s="210" t="s">
        <v>242</v>
      </c>
      <c r="W180" s="211">
        <f>ROUNDDOWN('7990NTP-NP'!P57-('7990NTP-NP'!P57*0.438),2)</f>
        <v>0</v>
      </c>
      <c r="X180" s="233">
        <f>'7990NTP-NP'!H57</f>
        <v>0</v>
      </c>
      <c r="Y180" s="219" t="s">
        <v>342</v>
      </c>
      <c r="Z180" s="210" t="s">
        <v>242</v>
      </c>
      <c r="AA180" s="211">
        <f>ROUNDDOWN('7990NTP-NP'!Q57-('7990NTP-NP'!Q57*0.438),2)</f>
        <v>0</v>
      </c>
      <c r="AB180" s="233">
        <f>'7990NTP-NP'!I57</f>
        <v>0</v>
      </c>
      <c r="AC180" s="216">
        <f>IF(C180+G180+K180+O180+S180+W180+AA180&gt;0,C180+G180+K180+O180+S180+W180+AA180,0)</f>
        <v>0</v>
      </c>
      <c r="AD180" s="167"/>
    </row>
    <row r="181" spans="1:30" ht="63" hidden="1" x14ac:dyDescent="0.3">
      <c r="A181" s="247" t="s">
        <v>243</v>
      </c>
      <c r="B181" s="210" t="s">
        <v>244</v>
      </c>
      <c r="C181" s="211">
        <f>ROUNDUP('7990NTP-NP'!$K$57*0.438,2)</f>
        <v>0</v>
      </c>
      <c r="D181" s="233"/>
      <c r="E181" s="248" t="s">
        <v>243</v>
      </c>
      <c r="F181" s="213" t="s">
        <v>244</v>
      </c>
      <c r="G181" s="211">
        <f>ROUNDUP('7990NTP-NP'!$L$57*0.438,2)</f>
        <v>0</v>
      </c>
      <c r="H181" s="233"/>
      <c r="I181" s="248" t="s">
        <v>243</v>
      </c>
      <c r="J181" s="210" t="s">
        <v>244</v>
      </c>
      <c r="K181" s="211">
        <f>ROUNDUP('7990NTP-NP'!M57*0.438,2)</f>
        <v>0</v>
      </c>
      <c r="L181" s="233"/>
      <c r="M181" s="248" t="s">
        <v>343</v>
      </c>
      <c r="N181" s="210" t="s">
        <v>344</v>
      </c>
      <c r="O181" s="211">
        <f>ROUNDUP('7990NTP-NP'!N57*0.438,2)</f>
        <v>0</v>
      </c>
      <c r="P181" s="233"/>
      <c r="Q181" s="219" t="s">
        <v>343</v>
      </c>
      <c r="R181" s="210" t="s">
        <v>344</v>
      </c>
      <c r="S181" s="211">
        <f>ROUNDUP('7990NTP-NP'!O57*0.438,2)</f>
        <v>0</v>
      </c>
      <c r="T181" s="233"/>
      <c r="U181" s="219" t="s">
        <v>343</v>
      </c>
      <c r="V181" s="210" t="s">
        <v>344</v>
      </c>
      <c r="W181" s="211">
        <f>ROUNDUP('7990NTP-NP'!P57*0.438,2)</f>
        <v>0</v>
      </c>
      <c r="X181" s="233"/>
      <c r="Y181" s="219" t="s">
        <v>343</v>
      </c>
      <c r="Z181" s="210" t="s">
        <v>344</v>
      </c>
      <c r="AA181" s="211">
        <f>ROUNDUP('7990NTP-NP'!Q57*0.438,2)</f>
        <v>0</v>
      </c>
      <c r="AB181" s="233"/>
      <c r="AC181" s="216">
        <f>IF(C181+G181+K181+O181+S181+W181+AA181&gt;0,C181+G181+K181+O181+S181+W181+AA181,0)</f>
        <v>0</v>
      </c>
      <c r="AD181" s="167"/>
    </row>
    <row r="182" spans="1:30" ht="14" hidden="1" x14ac:dyDescent="0.3">
      <c r="A182" s="243"/>
      <c r="B182" s="210"/>
      <c r="C182" s="211"/>
      <c r="D182" s="233"/>
      <c r="E182" s="219"/>
      <c r="F182" s="213"/>
      <c r="G182" s="211"/>
      <c r="H182" s="233"/>
      <c r="I182" s="219"/>
      <c r="J182" s="210"/>
      <c r="K182" s="211"/>
      <c r="L182" s="233"/>
      <c r="M182" s="219"/>
      <c r="N182" s="210"/>
      <c r="O182" s="211"/>
      <c r="P182" s="233"/>
      <c r="Q182" s="219"/>
      <c r="R182" s="210"/>
      <c r="S182" s="211"/>
      <c r="T182" s="233"/>
      <c r="U182" s="219"/>
      <c r="V182" s="210"/>
      <c r="W182" s="211"/>
      <c r="X182" s="233"/>
      <c r="Y182" s="219"/>
      <c r="Z182" s="210"/>
      <c r="AA182" s="211"/>
      <c r="AB182" s="233"/>
      <c r="AC182" s="216"/>
      <c r="AD182" s="167"/>
    </row>
    <row r="183" spans="1:30" ht="63" hidden="1" x14ac:dyDescent="0.3">
      <c r="A183" s="132" t="s">
        <v>245</v>
      </c>
      <c r="B183" s="210" t="s">
        <v>246</v>
      </c>
      <c r="C183" s="211" t="e">
        <f>ROUNDDOWN('7990NTP-NP'!#REF!-('7990NTP-NP'!#REF!*0.3066),2)</f>
        <v>#REF!</v>
      </c>
      <c r="D183" s="233" t="e">
        <f>'7990NTP-NP'!#REF!</f>
        <v>#REF!</v>
      </c>
      <c r="E183" s="154" t="s">
        <v>245</v>
      </c>
      <c r="F183" s="213" t="s">
        <v>246</v>
      </c>
      <c r="G183" s="211" t="e">
        <f>ROUNDDOWN('7990NTP-NP'!#REF!-('7990NTP-NP'!#REF!*0.3066),2)</f>
        <v>#REF!</v>
      </c>
      <c r="H183" s="233" t="e">
        <f>'7990NTP-NP'!#REF!</f>
        <v>#REF!</v>
      </c>
      <c r="I183" s="154" t="s">
        <v>245</v>
      </c>
      <c r="J183" s="210" t="s">
        <v>246</v>
      </c>
      <c r="K183" s="211" t="e">
        <f>ROUNDDOWN('7990NTP-NP'!#REF!-('7990NTP-NP'!#REF!*0.3066),2)</f>
        <v>#REF!</v>
      </c>
      <c r="L183" s="233" t="e">
        <f>'7990NTP-NP'!#REF!</f>
        <v>#REF!</v>
      </c>
      <c r="M183" s="154" t="s">
        <v>345</v>
      </c>
      <c r="N183" s="210" t="s">
        <v>246</v>
      </c>
      <c r="O183" s="211" t="e">
        <f>ROUNDDOWN('7990NTP-NP'!#REF!-('7990NTP-NP'!#REF!*0.3066),2)</f>
        <v>#REF!</v>
      </c>
      <c r="P183" s="233" t="e">
        <f>'7990NTP-NP'!#REF!</f>
        <v>#REF!</v>
      </c>
      <c r="Q183" s="219" t="s">
        <v>345</v>
      </c>
      <c r="R183" s="210" t="s">
        <v>246</v>
      </c>
      <c r="S183" s="211" t="e">
        <f>ROUNDDOWN('7990NTP-NP'!#REF!-('7990NTP-NP'!#REF!*0.3066),2)</f>
        <v>#REF!</v>
      </c>
      <c r="T183" s="233" t="e">
        <f>'7990NTP-NP'!#REF!</f>
        <v>#REF!</v>
      </c>
      <c r="U183" s="219" t="s">
        <v>345</v>
      </c>
      <c r="V183" s="210" t="s">
        <v>246</v>
      </c>
      <c r="W183" s="211" t="e">
        <f>ROUNDDOWN('7990NTP-NP'!#REF!-('7990NTP-NP'!#REF!*0.3066),2)</f>
        <v>#REF!</v>
      </c>
      <c r="X183" s="233" t="e">
        <f>'7990NTP-NP'!#REF!</f>
        <v>#REF!</v>
      </c>
      <c r="Y183" s="219" t="s">
        <v>345</v>
      </c>
      <c r="Z183" s="210" t="s">
        <v>246</v>
      </c>
      <c r="AA183" s="211" t="e">
        <f>ROUNDDOWN('7990NTP-NP'!#REF!-('7990NTP-NP'!#REF!*0.3066),2)</f>
        <v>#REF!</v>
      </c>
      <c r="AB183" s="233" t="e">
        <f>'7990NTP-NP'!#REF!</f>
        <v>#REF!</v>
      </c>
      <c r="AC183" s="216" t="e">
        <f>IF(C183+G183+K183+O183+S183+W183+AA183&gt;0,C183+G183+K183+O183+S183+W183+AA183,0)</f>
        <v>#REF!</v>
      </c>
      <c r="AD183" s="167"/>
    </row>
    <row r="184" spans="1:30" ht="63" hidden="1" x14ac:dyDescent="0.3">
      <c r="A184" s="132" t="s">
        <v>247</v>
      </c>
      <c r="B184" s="210" t="s">
        <v>248</v>
      </c>
      <c r="C184" s="211" t="e">
        <f>ROUNDUP('7990NTP-NP'!#REF!*0.3066,2)</f>
        <v>#REF!</v>
      </c>
      <c r="D184" s="233"/>
      <c r="E184" s="154" t="s">
        <v>247</v>
      </c>
      <c r="F184" s="213" t="s">
        <v>248</v>
      </c>
      <c r="G184" s="211" t="e">
        <f>ROUNDUP('7990NTP-NP'!#REF!*0.3066,2)</f>
        <v>#REF!</v>
      </c>
      <c r="H184" s="233"/>
      <c r="I184" s="154" t="s">
        <v>247</v>
      </c>
      <c r="J184" s="210" t="s">
        <v>248</v>
      </c>
      <c r="K184" s="211" t="e">
        <f>ROUNDUP('7990NTP-NP'!#REF!*0.3066,2)</f>
        <v>#REF!</v>
      </c>
      <c r="L184" s="233"/>
      <c r="M184" s="154" t="s">
        <v>346</v>
      </c>
      <c r="N184" s="210" t="s">
        <v>347</v>
      </c>
      <c r="O184" s="211" t="e">
        <f>ROUNDUP('7990NTP-NP'!#REF!*0.3066,2)</f>
        <v>#REF!</v>
      </c>
      <c r="P184" s="233"/>
      <c r="Q184" s="219" t="s">
        <v>346</v>
      </c>
      <c r="R184" s="210" t="s">
        <v>347</v>
      </c>
      <c r="S184" s="211" t="e">
        <f>ROUNDUP('7990NTP-NP'!#REF!*0.3066,2)</f>
        <v>#REF!</v>
      </c>
      <c r="T184" s="233"/>
      <c r="U184" s="219" t="s">
        <v>346</v>
      </c>
      <c r="V184" s="210" t="s">
        <v>347</v>
      </c>
      <c r="W184" s="211" t="e">
        <f>ROUNDUP('7990NTP-NP'!#REF!*0.3066,2)</f>
        <v>#REF!</v>
      </c>
      <c r="X184" s="233"/>
      <c r="Y184" s="219" t="s">
        <v>346</v>
      </c>
      <c r="Z184" s="210" t="s">
        <v>347</v>
      </c>
      <c r="AA184" s="211" t="e">
        <f>ROUNDUP('7990NTP-NP'!#REF!*0.3066,2)</f>
        <v>#REF!</v>
      </c>
      <c r="AB184" s="233"/>
      <c r="AC184" s="216" t="e">
        <f>IF(C184+G184+K184+O184+S184+W184+AA184&gt;0,C184+G184+K184+O184+S184+W184+AA184,0)</f>
        <v>#REF!</v>
      </c>
      <c r="AD184" s="167"/>
    </row>
    <row r="185" spans="1:30" ht="14" hidden="1" x14ac:dyDescent="0.3">
      <c r="A185" s="243"/>
      <c r="B185" s="210"/>
      <c r="C185" s="211"/>
      <c r="D185" s="233"/>
      <c r="E185" s="219"/>
      <c r="F185" s="213"/>
      <c r="G185" s="211"/>
      <c r="H185" s="233"/>
      <c r="I185" s="219"/>
      <c r="J185" s="210"/>
      <c r="K185" s="211"/>
      <c r="L185" s="233"/>
      <c r="M185" s="219"/>
      <c r="N185" s="210"/>
      <c r="O185" s="211"/>
      <c r="P185" s="233"/>
      <c r="Q185" s="219"/>
      <c r="R185" s="210"/>
      <c r="S185" s="211"/>
      <c r="T185" s="233"/>
      <c r="U185" s="219"/>
      <c r="V185" s="210"/>
      <c r="W185" s="211"/>
      <c r="X185" s="233"/>
      <c r="Y185" s="219"/>
      <c r="Z185" s="210"/>
      <c r="AA185" s="211"/>
      <c r="AB185" s="233"/>
      <c r="AC185" s="216"/>
      <c r="AD185" s="167"/>
    </row>
    <row r="186" spans="1:30" ht="50.5" hidden="1" x14ac:dyDescent="0.3">
      <c r="A186" s="132" t="s">
        <v>134</v>
      </c>
      <c r="B186" s="210" t="s">
        <v>121</v>
      </c>
      <c r="C186" s="211">
        <f>ROUNDDOWN('7990NTP-NP'!$K$58*0.93,2)</f>
        <v>0</v>
      </c>
      <c r="D186" s="233">
        <f>'7990NTP-NP'!$C$58</f>
        <v>0</v>
      </c>
      <c r="E186" s="154" t="s">
        <v>134</v>
      </c>
      <c r="F186" s="213" t="s">
        <v>121</v>
      </c>
      <c r="G186" s="211">
        <f>ROUNDDOWN('7990NTP-NP'!$L$58*0.93,2)</f>
        <v>0</v>
      </c>
      <c r="H186" s="233">
        <f>'7990NTP-NP'!$D$58</f>
        <v>0</v>
      </c>
      <c r="I186" s="154" t="s">
        <v>134</v>
      </c>
      <c r="J186" s="210" t="s">
        <v>121</v>
      </c>
      <c r="K186" s="211">
        <f>ROUNDDOWN('7990NTP-NP'!M58*0.93,2)</f>
        <v>0</v>
      </c>
      <c r="L186" s="233">
        <f>'7990NTP-NP'!E58</f>
        <v>0</v>
      </c>
      <c r="M186" s="154" t="s">
        <v>348</v>
      </c>
      <c r="N186" s="210" t="s">
        <v>350</v>
      </c>
      <c r="O186" s="211">
        <f>ROUNDDOWN('7990NTP-NP'!N58*0.93,2)</f>
        <v>0</v>
      </c>
      <c r="P186" s="233">
        <f>'7990NTP-NP'!F58</f>
        <v>0</v>
      </c>
      <c r="Q186" s="219" t="s">
        <v>348</v>
      </c>
      <c r="R186" s="210" t="s">
        <v>350</v>
      </c>
      <c r="S186" s="211">
        <f>ROUNDDOWN('7990NTP-NP'!O58*0.93,2)</f>
        <v>0</v>
      </c>
      <c r="T186" s="233">
        <f>'7990NTP-NP'!G58</f>
        <v>0</v>
      </c>
      <c r="U186" s="219" t="s">
        <v>348</v>
      </c>
      <c r="V186" s="210" t="s">
        <v>350</v>
      </c>
      <c r="W186" s="211">
        <f>ROUNDDOWN('7990NTP-NP'!P58*0.93,2)</f>
        <v>0</v>
      </c>
      <c r="X186" s="233">
        <f>'7990NTP-NP'!H58</f>
        <v>0</v>
      </c>
      <c r="Y186" s="219" t="s">
        <v>348</v>
      </c>
      <c r="Z186" s="210" t="s">
        <v>350</v>
      </c>
      <c r="AA186" s="211">
        <f>ROUNDDOWN('7990NTP-NP'!Q58*0.93,2)</f>
        <v>0</v>
      </c>
      <c r="AB186" s="233">
        <f>'7990NTP-NP'!I58</f>
        <v>0</v>
      </c>
      <c r="AC186" s="216">
        <f>IF(C186+G186+K186+O186+S186+W186+AA186&gt;0,C186+G186+K186+O186+S186+W186+AA186,0)</f>
        <v>0</v>
      </c>
      <c r="AD186" s="167"/>
    </row>
    <row r="187" spans="1:30" ht="50.5" hidden="1" x14ac:dyDescent="0.3">
      <c r="A187" s="249" t="s">
        <v>135</v>
      </c>
      <c r="B187" s="210" t="s">
        <v>122</v>
      </c>
      <c r="C187" s="211">
        <f>ROUNDUP('7990NTP-NP'!$K$58*0.07,2)</f>
        <v>0</v>
      </c>
      <c r="D187" s="214"/>
      <c r="E187" s="209" t="s">
        <v>135</v>
      </c>
      <c r="F187" s="213" t="s">
        <v>122</v>
      </c>
      <c r="G187" s="211">
        <f>ROUNDUP('7990NTP-NP'!$L$58*0.07,2)</f>
        <v>0</v>
      </c>
      <c r="H187" s="214"/>
      <c r="I187" s="209" t="s">
        <v>135</v>
      </c>
      <c r="J187" s="210" t="s">
        <v>122</v>
      </c>
      <c r="K187" s="211">
        <f>ROUNDUP('7990NTP-NP'!M58*0.07,2)</f>
        <v>0</v>
      </c>
      <c r="L187" s="214"/>
      <c r="M187" s="209" t="s">
        <v>349</v>
      </c>
      <c r="N187" s="210" t="s">
        <v>351</v>
      </c>
      <c r="O187" s="211">
        <f>ROUNDUP('7990NTP-NP'!N58*0.07,2)</f>
        <v>0</v>
      </c>
      <c r="P187" s="214"/>
      <c r="Q187" s="250" t="s">
        <v>349</v>
      </c>
      <c r="R187" s="236" t="s">
        <v>351</v>
      </c>
      <c r="S187" s="211">
        <f>ROUNDUP('7990NTP-NP'!O58*0.07,2)</f>
        <v>0</v>
      </c>
      <c r="T187" s="214"/>
      <c r="U187" s="250" t="s">
        <v>349</v>
      </c>
      <c r="V187" s="236" t="s">
        <v>351</v>
      </c>
      <c r="W187" s="211">
        <f>ROUNDUP('7990NTP-NP'!P58*0.07,2)</f>
        <v>0</v>
      </c>
      <c r="X187" s="214"/>
      <c r="Y187" s="250" t="s">
        <v>349</v>
      </c>
      <c r="Z187" s="236" t="s">
        <v>351</v>
      </c>
      <c r="AA187" s="211">
        <f>ROUNDUP('7990NTP-NP'!Q58*0.07,2)</f>
        <v>0</v>
      </c>
      <c r="AB187" s="214"/>
      <c r="AC187" s="216">
        <f>IF(C187+G187+K187+O187+S187+W187+AA187&gt;0,C187+G187+K187+O187+S187+W187+AA187,0)</f>
        <v>0</v>
      </c>
      <c r="AD187" s="167"/>
    </row>
    <row r="188" spans="1:30" ht="14" hidden="1" x14ac:dyDescent="0.3">
      <c r="A188" s="209"/>
      <c r="B188" s="210"/>
      <c r="C188" s="211"/>
      <c r="D188" s="233"/>
      <c r="E188" s="219"/>
      <c r="F188" s="213"/>
      <c r="G188" s="211"/>
      <c r="H188" s="233"/>
      <c r="I188" s="219"/>
      <c r="J188" s="210"/>
      <c r="K188" s="211"/>
      <c r="L188" s="233"/>
      <c r="M188" s="219"/>
      <c r="N188" s="210"/>
      <c r="O188" s="211"/>
      <c r="P188" s="233"/>
      <c r="Q188" s="219"/>
      <c r="R188" s="210"/>
      <c r="S188" s="211"/>
      <c r="T188" s="233"/>
      <c r="U188" s="219"/>
      <c r="V188" s="210"/>
      <c r="W188" s="211"/>
      <c r="X188" s="233"/>
      <c r="Y188" s="219"/>
      <c r="Z188" s="210"/>
      <c r="AA188" s="211"/>
      <c r="AB188" s="233"/>
      <c r="AC188" s="216"/>
      <c r="AD188" s="167"/>
    </row>
    <row r="189" spans="1:30" ht="50.5" hidden="1" x14ac:dyDescent="0.3">
      <c r="A189" s="132" t="s">
        <v>249</v>
      </c>
      <c r="B189" s="210" t="s">
        <v>250</v>
      </c>
      <c r="C189" s="211" t="e">
        <f>ROUNDDOWN('7990NTP-NP'!#REF!*0.9,2)</f>
        <v>#REF!</v>
      </c>
      <c r="D189" s="233" t="e">
        <f>'7990NTP-NP'!#REF!</f>
        <v>#REF!</v>
      </c>
      <c r="E189" s="154" t="s">
        <v>249</v>
      </c>
      <c r="F189" s="213" t="s">
        <v>250</v>
      </c>
      <c r="G189" s="211" t="e">
        <f>ROUNDDOWN('7990NTP-NP'!#REF!*0.9,2)</f>
        <v>#REF!</v>
      </c>
      <c r="H189" s="233" t="e">
        <f>'7990NTP-NP'!#REF!</f>
        <v>#REF!</v>
      </c>
      <c r="I189" s="154" t="s">
        <v>249</v>
      </c>
      <c r="J189" s="210" t="s">
        <v>250</v>
      </c>
      <c r="K189" s="211" t="e">
        <f>ROUNDDOWN('7990NTP-NP'!#REF!*0.9,2)</f>
        <v>#REF!</v>
      </c>
      <c r="L189" s="233" t="e">
        <f>'7990NTP-NP'!#REF!</f>
        <v>#REF!</v>
      </c>
      <c r="M189" s="154" t="s">
        <v>352</v>
      </c>
      <c r="N189" s="210" t="s">
        <v>354</v>
      </c>
      <c r="O189" s="211" t="e">
        <f>ROUNDDOWN('7990NTP-NP'!#REF!*0.9,2)</f>
        <v>#REF!</v>
      </c>
      <c r="P189" s="233" t="e">
        <f>'7990NTP-NP'!#REF!</f>
        <v>#REF!</v>
      </c>
      <c r="Q189" s="219" t="s">
        <v>352</v>
      </c>
      <c r="R189" s="210" t="s">
        <v>354</v>
      </c>
      <c r="S189" s="211" t="e">
        <f>ROUNDDOWN('7990NTP-NP'!#REF!*0.9,2)</f>
        <v>#REF!</v>
      </c>
      <c r="T189" s="233" t="e">
        <f>'7990NTP-NP'!#REF!</f>
        <v>#REF!</v>
      </c>
      <c r="U189" s="219" t="s">
        <v>352</v>
      </c>
      <c r="V189" s="210" t="s">
        <v>354</v>
      </c>
      <c r="W189" s="211" t="e">
        <f>ROUNDDOWN('7990NTP-NP'!#REF!*0.9,2)</f>
        <v>#REF!</v>
      </c>
      <c r="X189" s="233" t="e">
        <f>'7990NTP-NP'!#REF!</f>
        <v>#REF!</v>
      </c>
      <c r="Y189" s="219" t="s">
        <v>352</v>
      </c>
      <c r="Z189" s="210" t="s">
        <v>354</v>
      </c>
      <c r="AA189" s="211" t="e">
        <f>ROUNDDOWN('7990NTP-NP'!#REF!*0.9,2)</f>
        <v>#REF!</v>
      </c>
      <c r="AB189" s="233" t="e">
        <f>'7990NTP-NP'!#REF!</f>
        <v>#REF!</v>
      </c>
      <c r="AC189" s="216" t="e">
        <f>IF(C189+G189+K189+O189+S189+W189+AA189&gt;0,C189+G189+K189+O189+S189+W189+AA189,0)</f>
        <v>#REF!</v>
      </c>
      <c r="AD189" s="167"/>
    </row>
    <row r="190" spans="1:30" ht="50.5" hidden="1" x14ac:dyDescent="0.3">
      <c r="A190" s="132" t="s">
        <v>251</v>
      </c>
      <c r="B190" s="210" t="s">
        <v>252</v>
      </c>
      <c r="C190" s="211" t="e">
        <f>ROUNDUP('7990NTP-NP'!#REF!*0.1,2)</f>
        <v>#REF!</v>
      </c>
      <c r="D190" s="214"/>
      <c r="E190" s="154" t="s">
        <v>251</v>
      </c>
      <c r="F190" s="213" t="s">
        <v>252</v>
      </c>
      <c r="G190" s="211" t="e">
        <f>ROUNDUP('7990NTP-NP'!#REF!*0.1,2)</f>
        <v>#REF!</v>
      </c>
      <c r="H190" s="214"/>
      <c r="I190" s="154" t="s">
        <v>251</v>
      </c>
      <c r="J190" s="210" t="s">
        <v>252</v>
      </c>
      <c r="K190" s="211" t="e">
        <f>ROUNDUP('7990NTP-NP'!#REF!*0.1,2)</f>
        <v>#REF!</v>
      </c>
      <c r="L190" s="214"/>
      <c r="M190" s="154" t="s">
        <v>353</v>
      </c>
      <c r="N190" s="210" t="s">
        <v>393</v>
      </c>
      <c r="O190" s="211" t="e">
        <f>ROUNDUP('7990NTP-NP'!#REF!*0.1,2)</f>
        <v>#REF!</v>
      </c>
      <c r="P190" s="214"/>
      <c r="Q190" s="250" t="s">
        <v>353</v>
      </c>
      <c r="R190" s="236" t="s">
        <v>355</v>
      </c>
      <c r="S190" s="211" t="e">
        <f>ROUNDUP('7990NTP-NP'!#REF!*0.1,2)</f>
        <v>#REF!</v>
      </c>
      <c r="T190" s="214"/>
      <c r="U190" s="250" t="s">
        <v>353</v>
      </c>
      <c r="V190" s="236" t="s">
        <v>355</v>
      </c>
      <c r="W190" s="211" t="e">
        <f>ROUNDUP('7990NTP-NP'!#REF!*0.1,2)</f>
        <v>#REF!</v>
      </c>
      <c r="X190" s="214"/>
      <c r="Y190" s="250" t="s">
        <v>353</v>
      </c>
      <c r="Z190" s="236" t="s">
        <v>355</v>
      </c>
      <c r="AA190" s="211" t="e">
        <f>ROUNDUP('7990NTP-NP'!#REF!*0.1,2)</f>
        <v>#REF!</v>
      </c>
      <c r="AB190" s="214"/>
      <c r="AC190" s="216" t="e">
        <f>IF(C190+G190+K190+O190+S190+W190+AA190&gt;0,C190+G190+K190+O190+S190+W190+AA190,0)</f>
        <v>#REF!</v>
      </c>
      <c r="AD190" s="167"/>
    </row>
    <row r="191" spans="1:30" ht="14" hidden="1" x14ac:dyDescent="0.3">
      <c r="A191" s="209"/>
      <c r="B191" s="210"/>
      <c r="C191" s="211"/>
      <c r="D191" s="233"/>
      <c r="E191" s="219"/>
      <c r="F191" s="213"/>
      <c r="G191" s="211"/>
      <c r="H191" s="233"/>
      <c r="I191" s="219"/>
      <c r="J191" s="210"/>
      <c r="K191" s="211"/>
      <c r="L191" s="233"/>
      <c r="M191" s="219"/>
      <c r="N191" s="210"/>
      <c r="O191" s="211"/>
      <c r="P191" s="233"/>
      <c r="Q191" s="219"/>
      <c r="R191" s="210"/>
      <c r="S191" s="211"/>
      <c r="T191" s="233"/>
      <c r="U191" s="219"/>
      <c r="V191" s="210"/>
      <c r="W191" s="211"/>
      <c r="X191" s="233"/>
      <c r="Y191" s="219"/>
      <c r="Z191" s="210"/>
      <c r="AA191" s="211"/>
      <c r="AB191" s="233"/>
      <c r="AC191" s="216"/>
      <c r="AD191" s="167"/>
    </row>
    <row r="192" spans="1:30" ht="50.5" hidden="1" x14ac:dyDescent="0.3">
      <c r="A192" s="247" t="s">
        <v>132</v>
      </c>
      <c r="B192" s="210" t="s">
        <v>138</v>
      </c>
      <c r="C192" s="211" t="e">
        <f>ROUNDDOWN('7990NTP-NP'!#REF!*0.5,2)</f>
        <v>#REF!</v>
      </c>
      <c r="D192" s="233" t="e">
        <f>'7990NTP-NP'!#REF!</f>
        <v>#REF!</v>
      </c>
      <c r="E192" s="219" t="s">
        <v>132</v>
      </c>
      <c r="F192" s="213" t="s">
        <v>358</v>
      </c>
      <c r="G192" s="211" t="e">
        <f>ROUNDDOWN('7990NTP-NP'!#REF!*0.5,2)</f>
        <v>#REF!</v>
      </c>
      <c r="H192" s="233" t="e">
        <f>'7990NTP-NP'!#REF!</f>
        <v>#REF!</v>
      </c>
      <c r="I192" s="219" t="s">
        <v>132</v>
      </c>
      <c r="J192" s="210" t="s">
        <v>358</v>
      </c>
      <c r="K192" s="211" t="e">
        <f>ROUNDDOWN('7990NTP-NP'!#REF!*0.5,2)</f>
        <v>#REF!</v>
      </c>
      <c r="L192" s="233" t="e">
        <f>'7990NTP-NP'!#REF!</f>
        <v>#REF!</v>
      </c>
      <c r="M192" s="248" t="s">
        <v>356</v>
      </c>
      <c r="N192" s="210" t="s">
        <v>358</v>
      </c>
      <c r="O192" s="211" t="e">
        <f>ROUNDDOWN('7990NTP-NP'!#REF!*0.5,2)</f>
        <v>#REF!</v>
      </c>
      <c r="P192" s="233" t="e">
        <f>'7990NTP-NP'!#REF!</f>
        <v>#REF!</v>
      </c>
      <c r="Q192" s="248" t="s">
        <v>356</v>
      </c>
      <c r="R192" s="210" t="s">
        <v>358</v>
      </c>
      <c r="S192" s="211" t="e">
        <f>ROUNDDOWN('7990NTP-NP'!#REF!*0.5,2)</f>
        <v>#REF!</v>
      </c>
      <c r="T192" s="233" t="e">
        <f>'7990NTP-NP'!#REF!</f>
        <v>#REF!</v>
      </c>
      <c r="U192" s="248" t="s">
        <v>356</v>
      </c>
      <c r="V192" s="210" t="s">
        <v>358</v>
      </c>
      <c r="W192" s="211" t="e">
        <f>ROUNDDOWN('7990NTP-NP'!#REF!*0.5,2)</f>
        <v>#REF!</v>
      </c>
      <c r="X192" s="233" t="e">
        <f>'7990NTP-NP'!#REF!</f>
        <v>#REF!</v>
      </c>
      <c r="Y192" s="248" t="s">
        <v>356</v>
      </c>
      <c r="Z192" s="210" t="s">
        <v>358</v>
      </c>
      <c r="AA192" s="211" t="e">
        <f>ROUNDDOWN('7990NTP-NP'!#REF!*0.5,2)</f>
        <v>#REF!</v>
      </c>
      <c r="AB192" s="233" t="e">
        <f>'7990NTP-NP'!#REF!</f>
        <v>#REF!</v>
      </c>
      <c r="AC192" s="216" t="e">
        <f>IF(C192+G192+K192+O192+S192+W192+AA192&gt;0,C192+G192+K192+O192+S192+W192+AA192,0)</f>
        <v>#REF!</v>
      </c>
      <c r="AD192" s="167"/>
    </row>
    <row r="193" spans="1:30" ht="50.5" hidden="1" x14ac:dyDescent="0.3">
      <c r="A193" s="247" t="s">
        <v>133</v>
      </c>
      <c r="B193" s="210" t="s">
        <v>139</v>
      </c>
      <c r="C193" s="211" t="e">
        <f>ROUNDUP('7990NTP-NP'!#REF!*0.5,2)</f>
        <v>#REF!</v>
      </c>
      <c r="D193" s="233"/>
      <c r="E193" s="219" t="s">
        <v>133</v>
      </c>
      <c r="F193" s="213" t="s">
        <v>402</v>
      </c>
      <c r="G193" s="211" t="e">
        <f>ROUNDUP('7990NTP-NP'!#REF!*0.5,2)</f>
        <v>#REF!</v>
      </c>
      <c r="H193" s="233"/>
      <c r="I193" s="219" t="s">
        <v>133</v>
      </c>
      <c r="J193" s="210" t="s">
        <v>402</v>
      </c>
      <c r="K193" s="211" t="e">
        <f>ROUNDUP('7990NTP-NP'!#REF!*0.5,2)</f>
        <v>#REF!</v>
      </c>
      <c r="L193" s="233"/>
      <c r="M193" s="248" t="s">
        <v>357</v>
      </c>
      <c r="N193" s="210" t="s">
        <v>359</v>
      </c>
      <c r="O193" s="211" t="e">
        <f>ROUNDUP('7990NTP-NP'!#REF!*0.5,2)</f>
        <v>#REF!</v>
      </c>
      <c r="P193" s="233"/>
      <c r="Q193" s="248" t="s">
        <v>357</v>
      </c>
      <c r="R193" s="210" t="s">
        <v>359</v>
      </c>
      <c r="S193" s="211" t="e">
        <f>ROUNDUP('7990NTP-NP'!#REF!*0.5,2)</f>
        <v>#REF!</v>
      </c>
      <c r="T193" s="233"/>
      <c r="U193" s="248" t="s">
        <v>357</v>
      </c>
      <c r="V193" s="210" t="s">
        <v>359</v>
      </c>
      <c r="W193" s="211" t="e">
        <f>ROUNDUP('7990NTP-NP'!#REF!*0.5,2)</f>
        <v>#REF!</v>
      </c>
      <c r="X193" s="233"/>
      <c r="Y193" s="248" t="s">
        <v>357</v>
      </c>
      <c r="Z193" s="210" t="s">
        <v>359</v>
      </c>
      <c r="AA193" s="211" t="e">
        <f>ROUNDUP('7990NTP-NP'!#REF!*0.5,2)</f>
        <v>#REF!</v>
      </c>
      <c r="AB193" s="233"/>
      <c r="AC193" s="216" t="e">
        <f>IF(C193+G193+K193+O193+S193+W193+AA193&gt;0,C193+G193+K193+O193+S193+W193+AA193,0)</f>
        <v>#REF!</v>
      </c>
      <c r="AD193" s="167"/>
    </row>
    <row r="194" spans="1:30" ht="14" hidden="1" x14ac:dyDescent="0.3">
      <c r="A194" s="243"/>
      <c r="B194" s="210"/>
      <c r="C194" s="211"/>
      <c r="D194" s="233"/>
      <c r="E194" s="219"/>
      <c r="F194" s="213"/>
      <c r="G194" s="211"/>
      <c r="H194" s="233"/>
      <c r="I194" s="219"/>
      <c r="J194" s="210"/>
      <c r="K194" s="211"/>
      <c r="L194" s="233"/>
      <c r="M194" s="219"/>
      <c r="N194" s="210"/>
      <c r="O194" s="211"/>
      <c r="P194" s="233"/>
      <c r="Q194" s="219"/>
      <c r="R194" s="210"/>
      <c r="S194" s="211"/>
      <c r="T194" s="233"/>
      <c r="U194" s="219"/>
      <c r="V194" s="210"/>
      <c r="W194" s="211"/>
      <c r="X194" s="233"/>
      <c r="Y194" s="219"/>
      <c r="Z194" s="210"/>
      <c r="AA194" s="211"/>
      <c r="AB194" s="233"/>
      <c r="AC194" s="216"/>
      <c r="AD194" s="167"/>
    </row>
    <row r="195" spans="1:30" ht="63" hidden="1" x14ac:dyDescent="0.3">
      <c r="A195" s="247" t="s">
        <v>253</v>
      </c>
      <c r="B195" s="210" t="s">
        <v>254</v>
      </c>
      <c r="C195" s="211">
        <f>ROUNDDOWN('7990NTP-NP'!$K$59-('7990NTP-NP'!$K$59*0.438),2)</f>
        <v>0</v>
      </c>
      <c r="D195" s="233">
        <f>'7990NTP-NP'!$C$59</f>
        <v>0</v>
      </c>
      <c r="E195" s="248" t="s">
        <v>253</v>
      </c>
      <c r="F195" s="213" t="s">
        <v>254</v>
      </c>
      <c r="G195" s="211">
        <f>ROUNDDOWN('7990NTP-NP'!$L$59-('7990NTP-NP'!$L$59*0.438),2)</f>
        <v>0</v>
      </c>
      <c r="H195" s="233">
        <f>'7990NTP-NP'!$D$59</f>
        <v>0</v>
      </c>
      <c r="I195" s="248" t="s">
        <v>253</v>
      </c>
      <c r="J195" s="210" t="s">
        <v>254</v>
      </c>
      <c r="K195" s="211">
        <f>ROUNDDOWN('7990NTP-NP'!M59-('7990NTP-NP'!M59*0.438),2)</f>
        <v>0</v>
      </c>
      <c r="L195" s="233">
        <f>'7990NTP-NP'!E59</f>
        <v>0</v>
      </c>
      <c r="M195" s="219" t="s">
        <v>360</v>
      </c>
      <c r="N195" s="210" t="s">
        <v>254</v>
      </c>
      <c r="O195" s="211">
        <f>ROUNDDOWN('7990NTP-NP'!N59-('7990NTP-NP'!N59*0.438),2)</f>
        <v>0</v>
      </c>
      <c r="P195" s="233">
        <f>'7990NTP-NP'!F59</f>
        <v>0</v>
      </c>
      <c r="Q195" s="219" t="s">
        <v>360</v>
      </c>
      <c r="R195" s="210" t="s">
        <v>254</v>
      </c>
      <c r="S195" s="211">
        <f>ROUNDDOWN('7990NTP-NP'!O59-('7990NTP-NP'!O59*0.438),2)</f>
        <v>0</v>
      </c>
      <c r="T195" s="233">
        <f>'7990NTP-NP'!G59</f>
        <v>0</v>
      </c>
      <c r="U195" s="219" t="s">
        <v>360</v>
      </c>
      <c r="V195" s="210" t="s">
        <v>254</v>
      </c>
      <c r="W195" s="211">
        <f>ROUNDDOWN('7990NTP-NP'!P59-('7990NTP-NP'!P59*0.438),2)</f>
        <v>0</v>
      </c>
      <c r="X195" s="233">
        <f>'7990NTP-NP'!H59</f>
        <v>0</v>
      </c>
      <c r="Y195" s="219" t="s">
        <v>360</v>
      </c>
      <c r="Z195" s="210" t="s">
        <v>254</v>
      </c>
      <c r="AA195" s="211">
        <f>ROUNDDOWN('7990NTP-NP'!Q59-('7990NTP-NP'!Q59*0.438),2)</f>
        <v>0</v>
      </c>
      <c r="AB195" s="233">
        <f>'7990NTP-NP'!I59</f>
        <v>0</v>
      </c>
      <c r="AC195" s="216">
        <f>IF(C195+G195+K195+O195+S195+W195+AA195&gt;0,C195+G195+K195+O195+S195+W195+AA195,0)</f>
        <v>0</v>
      </c>
      <c r="AD195" s="167"/>
    </row>
    <row r="196" spans="1:30" ht="63" hidden="1" x14ac:dyDescent="0.3">
      <c r="A196" s="247" t="s">
        <v>255</v>
      </c>
      <c r="B196" s="210" t="s">
        <v>256</v>
      </c>
      <c r="C196" s="211">
        <f>ROUNDUP('7990NTP-NP'!$K$59*0.438,2)</f>
        <v>0</v>
      </c>
      <c r="D196" s="233"/>
      <c r="E196" s="248" t="s">
        <v>255</v>
      </c>
      <c r="F196" s="213" t="s">
        <v>256</v>
      </c>
      <c r="G196" s="211">
        <f>ROUNDUP('7990NTP-NP'!$L$59*0.438,2)</f>
        <v>0</v>
      </c>
      <c r="H196" s="233"/>
      <c r="I196" s="248" t="s">
        <v>255</v>
      </c>
      <c r="J196" s="210" t="s">
        <v>256</v>
      </c>
      <c r="K196" s="211">
        <f>ROUNDUP('7990NTP-NP'!M59*0.438,2)</f>
        <v>0</v>
      </c>
      <c r="L196" s="233"/>
      <c r="M196" s="219" t="s">
        <v>361</v>
      </c>
      <c r="N196" s="210" t="s">
        <v>362</v>
      </c>
      <c r="O196" s="211">
        <f>ROUNDUP('7990NTP-NP'!N59*0.438,2)</f>
        <v>0</v>
      </c>
      <c r="P196" s="233"/>
      <c r="Q196" s="219" t="s">
        <v>361</v>
      </c>
      <c r="R196" s="210" t="s">
        <v>362</v>
      </c>
      <c r="S196" s="211">
        <f>ROUNDUP('7990NTP-NP'!O59*0.438,2)</f>
        <v>0</v>
      </c>
      <c r="T196" s="233"/>
      <c r="U196" s="219" t="s">
        <v>361</v>
      </c>
      <c r="V196" s="210" t="s">
        <v>362</v>
      </c>
      <c r="W196" s="211">
        <f>ROUNDUP('7990NTP-NP'!P59*0.438,2)</f>
        <v>0</v>
      </c>
      <c r="X196" s="233"/>
      <c r="Y196" s="219" t="s">
        <v>361</v>
      </c>
      <c r="Z196" s="210" t="s">
        <v>362</v>
      </c>
      <c r="AA196" s="211">
        <f>ROUNDUP('7990NTP-NP'!Q59*0.438,2)</f>
        <v>0</v>
      </c>
      <c r="AB196" s="233"/>
      <c r="AC196" s="216">
        <f>IF(C196+G196+K196+O196+S196+W196+AA196&gt;0,C196+G196+K196+O196+S196+W196+AA196,0)</f>
        <v>0</v>
      </c>
      <c r="AD196" s="167"/>
    </row>
    <row r="197" spans="1:30" ht="14" hidden="1" x14ac:dyDescent="0.3">
      <c r="A197" s="243"/>
      <c r="B197" s="210"/>
      <c r="C197" s="211"/>
      <c r="D197" s="233"/>
      <c r="E197" s="219"/>
      <c r="F197" s="213"/>
      <c r="G197" s="211"/>
      <c r="H197" s="233"/>
      <c r="I197" s="219"/>
      <c r="J197" s="210"/>
      <c r="K197" s="211"/>
      <c r="L197" s="233"/>
      <c r="M197" s="219"/>
      <c r="N197" s="210"/>
      <c r="O197" s="211"/>
      <c r="P197" s="233"/>
      <c r="Q197" s="219"/>
      <c r="R197" s="210"/>
      <c r="S197" s="211"/>
      <c r="T197" s="233"/>
      <c r="U197" s="219"/>
      <c r="V197" s="210"/>
      <c r="W197" s="211"/>
      <c r="X197" s="233"/>
      <c r="Y197" s="219"/>
      <c r="Z197" s="210"/>
      <c r="AA197" s="211"/>
      <c r="AB197" s="233"/>
      <c r="AC197" s="216"/>
      <c r="AD197" s="167"/>
    </row>
    <row r="198" spans="1:30" ht="63" hidden="1" x14ac:dyDescent="0.3">
      <c r="A198" s="132" t="s">
        <v>257</v>
      </c>
      <c r="B198" s="210" t="s">
        <v>258</v>
      </c>
      <c r="C198" s="211">
        <f>ROUNDDOWN('7990NTP-NP'!$K$60-('7990NTP-NP'!$K$60*0.3066),2)</f>
        <v>0</v>
      </c>
      <c r="D198" s="233">
        <f>'7990NTP-NP'!$C$60</f>
        <v>0</v>
      </c>
      <c r="E198" s="154" t="s">
        <v>257</v>
      </c>
      <c r="F198" s="213" t="s">
        <v>258</v>
      </c>
      <c r="G198" s="211">
        <f>ROUNDDOWN('7990NTP-NP'!$L$60-('7990NTP-NP'!$L$60*0.3066),2)</f>
        <v>0</v>
      </c>
      <c r="H198" s="233">
        <f>'7990NTP-NP'!$D$60</f>
        <v>0</v>
      </c>
      <c r="I198" s="154" t="s">
        <v>257</v>
      </c>
      <c r="J198" s="210" t="s">
        <v>258</v>
      </c>
      <c r="K198" s="211">
        <f>ROUNDDOWN('7990NTP-NP'!M60-('7990NTP-NP'!M60*0.3066),2)</f>
        <v>0</v>
      </c>
      <c r="L198" s="233">
        <f>'7990NTP-NP'!E60</f>
        <v>0</v>
      </c>
      <c r="M198" s="219" t="s">
        <v>363</v>
      </c>
      <c r="N198" s="210" t="s">
        <v>258</v>
      </c>
      <c r="O198" s="211">
        <f>ROUNDDOWN('7990NTP-NP'!N60-('7990NTP-NP'!N60*0.3066),2)</f>
        <v>0</v>
      </c>
      <c r="P198" s="233">
        <f>'7990NTP-NP'!F60</f>
        <v>0</v>
      </c>
      <c r="Q198" s="219" t="s">
        <v>363</v>
      </c>
      <c r="R198" s="210" t="s">
        <v>258</v>
      </c>
      <c r="S198" s="211">
        <f>ROUNDDOWN('7990NTP-NP'!O60-('7990NTP-NP'!O60*0.3066),2)</f>
        <v>0</v>
      </c>
      <c r="T198" s="233">
        <f>'7990NTP-NP'!G60</f>
        <v>0</v>
      </c>
      <c r="U198" s="219" t="s">
        <v>363</v>
      </c>
      <c r="V198" s="210" t="s">
        <v>258</v>
      </c>
      <c r="W198" s="211">
        <f>ROUNDDOWN('7990NTP-NP'!P60-('7990NTP-NP'!P60*0.3066),2)</f>
        <v>0</v>
      </c>
      <c r="X198" s="233">
        <f>'7990NTP-NP'!H60</f>
        <v>0</v>
      </c>
      <c r="Y198" s="219" t="s">
        <v>363</v>
      </c>
      <c r="Z198" s="210" t="s">
        <v>258</v>
      </c>
      <c r="AA198" s="211">
        <f>ROUNDDOWN('7990NTP-NP'!Q60-('7990NTP-NP'!Q60*0.3066),2)</f>
        <v>0</v>
      </c>
      <c r="AB198" s="233">
        <f>'7990NTP-NP'!I60</f>
        <v>0</v>
      </c>
      <c r="AC198" s="216">
        <f>IF(C198+G198+K198+O198+S198+W198+AA198&gt;0,C198+G198+K198+O198+S198+W198+AA198,0)</f>
        <v>0</v>
      </c>
      <c r="AD198" s="167"/>
    </row>
    <row r="199" spans="1:30" ht="63" hidden="1" x14ac:dyDescent="0.3">
      <c r="A199" s="132" t="s">
        <v>259</v>
      </c>
      <c r="B199" s="210" t="s">
        <v>260</v>
      </c>
      <c r="C199" s="211">
        <f>ROUNDUP('7990NTP-NP'!$K$60*0.3066,2)</f>
        <v>0</v>
      </c>
      <c r="D199" s="233"/>
      <c r="E199" s="154" t="s">
        <v>259</v>
      </c>
      <c r="F199" s="213" t="s">
        <v>260</v>
      </c>
      <c r="G199" s="211">
        <f>ROUNDUP('7990NTP-NP'!$L$60*0.3066,2)</f>
        <v>0</v>
      </c>
      <c r="H199" s="233"/>
      <c r="I199" s="154" t="s">
        <v>259</v>
      </c>
      <c r="J199" s="210" t="s">
        <v>260</v>
      </c>
      <c r="K199" s="211">
        <f>ROUNDUP('7990NTP-NP'!M60*0.3066,2)</f>
        <v>0</v>
      </c>
      <c r="L199" s="233"/>
      <c r="M199" s="219" t="s">
        <v>364</v>
      </c>
      <c r="N199" s="210" t="s">
        <v>365</v>
      </c>
      <c r="O199" s="211">
        <f>ROUNDUP('7990NTP-NP'!N60*0.3066,2)</f>
        <v>0</v>
      </c>
      <c r="P199" s="233"/>
      <c r="Q199" s="219" t="s">
        <v>364</v>
      </c>
      <c r="R199" s="210" t="s">
        <v>365</v>
      </c>
      <c r="S199" s="211">
        <f>ROUNDUP('7990NTP-NP'!O60*0.3066,2)</f>
        <v>0</v>
      </c>
      <c r="T199" s="233"/>
      <c r="U199" s="219" t="s">
        <v>364</v>
      </c>
      <c r="V199" s="210" t="s">
        <v>365</v>
      </c>
      <c r="W199" s="211">
        <f>ROUNDUP('7990NTP-NP'!P60*0.3066,2)</f>
        <v>0</v>
      </c>
      <c r="X199" s="233"/>
      <c r="Y199" s="219" t="s">
        <v>364</v>
      </c>
      <c r="Z199" s="210" t="s">
        <v>365</v>
      </c>
      <c r="AA199" s="211">
        <f>ROUNDUP('7990NTP-NP'!Q60*0.3066,2)</f>
        <v>0</v>
      </c>
      <c r="AB199" s="233"/>
      <c r="AC199" s="216">
        <f>IF(C199+G199+K199+O199+S199+W199+AA199&gt;0,C199+G199+K199+O199+S199+W199+AA199,0)</f>
        <v>0</v>
      </c>
      <c r="AD199" s="167"/>
    </row>
    <row r="200" spans="1:30" ht="14" hidden="1" x14ac:dyDescent="0.3">
      <c r="A200" s="243"/>
      <c r="B200" s="210"/>
      <c r="C200" s="211"/>
      <c r="D200" s="233"/>
      <c r="E200" s="219"/>
      <c r="F200" s="213"/>
      <c r="G200" s="211"/>
      <c r="H200" s="233"/>
      <c r="I200" s="219"/>
      <c r="J200" s="210"/>
      <c r="K200" s="211"/>
      <c r="L200" s="233"/>
      <c r="M200" s="219"/>
      <c r="N200" s="210"/>
      <c r="O200" s="211"/>
      <c r="P200" s="233"/>
      <c r="Q200" s="219"/>
      <c r="R200" s="210"/>
      <c r="S200" s="211"/>
      <c r="T200" s="233"/>
      <c r="U200" s="219"/>
      <c r="V200" s="210"/>
      <c r="W200" s="211"/>
      <c r="X200" s="233"/>
      <c r="Y200" s="219"/>
      <c r="Z200" s="210"/>
      <c r="AA200" s="211"/>
      <c r="AB200" s="233"/>
      <c r="AC200" s="216"/>
      <c r="AD200" s="167"/>
    </row>
    <row r="201" spans="1:30" ht="50.5" hidden="1" x14ac:dyDescent="0.3">
      <c r="A201" s="132" t="s">
        <v>130</v>
      </c>
      <c r="B201" s="210" t="s">
        <v>120</v>
      </c>
      <c r="C201" s="211">
        <f>ROUNDDOWN('7990NTP-NP'!$K$61*0.93,2)</f>
        <v>0</v>
      </c>
      <c r="D201" s="233">
        <f>'7990NTP-NP'!$C$61</f>
        <v>0</v>
      </c>
      <c r="E201" s="219" t="s">
        <v>130</v>
      </c>
      <c r="F201" s="213" t="s">
        <v>368</v>
      </c>
      <c r="G201" s="211">
        <f>ROUNDDOWN('7990NTP-NP'!$L$61*0.93,2)</f>
        <v>0</v>
      </c>
      <c r="H201" s="233">
        <f>'7990NTP-NP'!$D$61</f>
        <v>0</v>
      </c>
      <c r="I201" s="219" t="s">
        <v>130</v>
      </c>
      <c r="J201" s="210" t="s">
        <v>368</v>
      </c>
      <c r="K201" s="211">
        <f>ROUNDDOWN('7990NTP-NP'!M61*0.93,2)</f>
        <v>0</v>
      </c>
      <c r="L201" s="233">
        <f>'7990NTP-NP'!E61</f>
        <v>0</v>
      </c>
      <c r="M201" s="154" t="s">
        <v>366</v>
      </c>
      <c r="N201" s="210" t="s">
        <v>368</v>
      </c>
      <c r="O201" s="211">
        <f>ROUNDDOWN('7990NTP-NP'!N61*0.93,2)</f>
        <v>0</v>
      </c>
      <c r="P201" s="233">
        <f>'7990NTP-NP'!F61</f>
        <v>0</v>
      </c>
      <c r="Q201" s="154" t="s">
        <v>366</v>
      </c>
      <c r="R201" s="210" t="s">
        <v>368</v>
      </c>
      <c r="S201" s="211">
        <f>ROUNDDOWN('7990NTP-NP'!O61*0.93,2)</f>
        <v>0</v>
      </c>
      <c r="T201" s="233">
        <f>'7990NTP-NP'!G61</f>
        <v>0</v>
      </c>
      <c r="U201" s="154" t="s">
        <v>366</v>
      </c>
      <c r="V201" s="210" t="s">
        <v>368</v>
      </c>
      <c r="W201" s="211">
        <f>ROUNDDOWN('7990NTP-NP'!P61*0.93,2)</f>
        <v>0</v>
      </c>
      <c r="X201" s="233">
        <f>'7990NTP-NP'!H61</f>
        <v>0</v>
      </c>
      <c r="Y201" s="154" t="s">
        <v>366</v>
      </c>
      <c r="Z201" s="210" t="s">
        <v>368</v>
      </c>
      <c r="AA201" s="211">
        <f>ROUNDDOWN('7990NTP-NP'!Q61*0.93,2)</f>
        <v>0</v>
      </c>
      <c r="AB201" s="233">
        <f>'7990NTP-NP'!I61</f>
        <v>0</v>
      </c>
      <c r="AC201" s="216">
        <f>IF(C201+G201+K201+O201+S201+W201+AA201&gt;0,C201+G201+K201+O201+S201+W201+AA201,0)</f>
        <v>0</v>
      </c>
      <c r="AD201" s="167"/>
    </row>
    <row r="202" spans="1:30" ht="50.5" hidden="1" x14ac:dyDescent="0.3">
      <c r="A202" s="249" t="s">
        <v>131</v>
      </c>
      <c r="B202" s="210" t="s">
        <v>123</v>
      </c>
      <c r="C202" s="211">
        <f>ROUNDUP('7990NTP-NP'!$K$61*0.07,2)</f>
        <v>0</v>
      </c>
      <c r="D202" s="214"/>
      <c r="E202" s="250" t="s">
        <v>131</v>
      </c>
      <c r="F202" s="213" t="s">
        <v>401</v>
      </c>
      <c r="G202" s="211">
        <f>ROUNDUP('7990NTP-NP'!$L$61*0.07,2)</f>
        <v>0</v>
      </c>
      <c r="H202" s="214"/>
      <c r="I202" s="250" t="s">
        <v>131</v>
      </c>
      <c r="J202" s="236" t="s">
        <v>401</v>
      </c>
      <c r="K202" s="211">
        <f>ROUNDUP('7990NTP-NP'!M61*0.07,2)</f>
        <v>0</v>
      </c>
      <c r="L202" s="214"/>
      <c r="M202" s="209" t="s">
        <v>367</v>
      </c>
      <c r="N202" s="210" t="s">
        <v>369</v>
      </c>
      <c r="O202" s="211">
        <f>ROUNDUP('7990NTP-NP'!N61*0.07,2)</f>
        <v>0</v>
      </c>
      <c r="P202" s="214"/>
      <c r="Q202" s="209" t="s">
        <v>367</v>
      </c>
      <c r="R202" s="210" t="s">
        <v>369</v>
      </c>
      <c r="S202" s="211">
        <f>ROUNDUP('7990NTP-NP'!O61*0.07,2)</f>
        <v>0</v>
      </c>
      <c r="T202" s="214"/>
      <c r="U202" s="209" t="s">
        <v>367</v>
      </c>
      <c r="V202" s="210" t="s">
        <v>369</v>
      </c>
      <c r="W202" s="211">
        <f>ROUNDUP('7990NTP-NP'!P61*0.07,2)</f>
        <v>0</v>
      </c>
      <c r="X202" s="214"/>
      <c r="Y202" s="209" t="s">
        <v>367</v>
      </c>
      <c r="Z202" s="210" t="s">
        <v>369</v>
      </c>
      <c r="AA202" s="211">
        <f>ROUNDUP('7990NTP-NP'!Q61*0.07,2)</f>
        <v>0</v>
      </c>
      <c r="AB202" s="214"/>
      <c r="AC202" s="216">
        <f>IF(C202+G202+K202+O202+S202+W202+AA202&gt;0,C202+G202+K202+O202+S202+W202+AA202,0)</f>
        <v>0</v>
      </c>
      <c r="AD202" s="167"/>
    </row>
    <row r="203" spans="1:30" ht="14" hidden="1" x14ac:dyDescent="0.3">
      <c r="A203" s="209"/>
      <c r="B203" s="120"/>
      <c r="C203" s="252"/>
      <c r="D203" s="253"/>
      <c r="E203" s="154"/>
      <c r="F203" s="254"/>
      <c r="G203" s="255"/>
      <c r="H203" s="253"/>
      <c r="I203" s="154"/>
      <c r="J203" s="120"/>
      <c r="K203" s="255"/>
      <c r="L203" s="253"/>
      <c r="M203" s="154"/>
      <c r="N203" s="120"/>
      <c r="O203" s="255"/>
      <c r="P203" s="253"/>
      <c r="Q203" s="154"/>
      <c r="R203" s="120"/>
      <c r="S203" s="255"/>
      <c r="T203" s="253"/>
      <c r="U203" s="154"/>
      <c r="V203" s="120"/>
      <c r="W203" s="255"/>
      <c r="X203" s="253"/>
      <c r="Y203" s="154"/>
      <c r="Z203" s="120"/>
      <c r="AA203" s="255"/>
      <c r="AB203" s="253"/>
      <c r="AC203" s="216"/>
      <c r="AD203" s="167"/>
    </row>
    <row r="204" spans="1:30" ht="50.5" hidden="1" x14ac:dyDescent="0.3">
      <c r="A204" s="132" t="s">
        <v>261</v>
      </c>
      <c r="B204" s="210" t="s">
        <v>262</v>
      </c>
      <c r="C204" s="211" t="e">
        <f>ROUNDDOWN('7990NTP-NP'!#REF!*0.9,2)</f>
        <v>#REF!</v>
      </c>
      <c r="D204" s="233" t="e">
        <f>'7990NTP-NP'!#REF!</f>
        <v>#REF!</v>
      </c>
      <c r="E204" s="154" t="s">
        <v>261</v>
      </c>
      <c r="F204" s="213" t="s">
        <v>262</v>
      </c>
      <c r="G204" s="211" t="e">
        <f>ROUNDDOWN('7990NTP-NP'!#REF!*0.9,2)</f>
        <v>#REF!</v>
      </c>
      <c r="H204" s="233" t="e">
        <f>'7990NTP-NP'!#REF!</f>
        <v>#REF!</v>
      </c>
      <c r="I204" s="154" t="s">
        <v>261</v>
      </c>
      <c r="J204" s="210" t="s">
        <v>262</v>
      </c>
      <c r="K204" s="211" t="e">
        <f>ROUNDDOWN('7990NTP-NP'!#REF!*0.9,2)</f>
        <v>#REF!</v>
      </c>
      <c r="L204" s="233" t="e">
        <f>'7990NTP-NP'!#REF!</f>
        <v>#REF!</v>
      </c>
      <c r="M204" s="219" t="s">
        <v>370</v>
      </c>
      <c r="N204" s="210" t="s">
        <v>372</v>
      </c>
      <c r="O204" s="211" t="e">
        <f>ROUNDDOWN('7990NTP-NP'!#REF!*0.9,2)</f>
        <v>#REF!</v>
      </c>
      <c r="P204" s="233" t="e">
        <f>'7990NTP-NP'!#REF!</f>
        <v>#REF!</v>
      </c>
      <c r="Q204" s="219" t="s">
        <v>370</v>
      </c>
      <c r="R204" s="210" t="s">
        <v>372</v>
      </c>
      <c r="S204" s="211" t="e">
        <f>ROUNDDOWN('7990NTP-NP'!#REF!*0.9,2)</f>
        <v>#REF!</v>
      </c>
      <c r="T204" s="233" t="e">
        <f>'7990NTP-NP'!#REF!</f>
        <v>#REF!</v>
      </c>
      <c r="U204" s="219" t="s">
        <v>370</v>
      </c>
      <c r="V204" s="210" t="s">
        <v>372</v>
      </c>
      <c r="W204" s="211" t="e">
        <f>ROUNDDOWN('7990NTP-NP'!#REF!*0.9,2)</f>
        <v>#REF!</v>
      </c>
      <c r="X204" s="233" t="e">
        <f>'7990NTP-NP'!#REF!</f>
        <v>#REF!</v>
      </c>
      <c r="Y204" s="219" t="s">
        <v>370</v>
      </c>
      <c r="Z204" s="210" t="s">
        <v>372</v>
      </c>
      <c r="AA204" s="211" t="e">
        <f>ROUNDDOWN('7990NTP-NP'!#REF!*0.9,2)</f>
        <v>#REF!</v>
      </c>
      <c r="AB204" s="233" t="e">
        <f>'7990NTP-NP'!#REF!</f>
        <v>#REF!</v>
      </c>
      <c r="AC204" s="216" t="e">
        <f>IF(C204+G204+K204+O204+S204+W204+AA204&gt;0,C204+G204+K204+O204+S204+W204+AA204,0)</f>
        <v>#REF!</v>
      </c>
      <c r="AD204" s="167"/>
    </row>
    <row r="205" spans="1:30" ht="50.5" hidden="1" x14ac:dyDescent="0.3">
      <c r="A205" s="132" t="s">
        <v>263</v>
      </c>
      <c r="B205" s="210" t="s">
        <v>264</v>
      </c>
      <c r="C205" s="211" t="e">
        <f>ROUNDUP('7990NTP-NP'!#REF!*0.1,2)</f>
        <v>#REF!</v>
      </c>
      <c r="D205" s="214"/>
      <c r="E205" s="154" t="s">
        <v>263</v>
      </c>
      <c r="F205" s="213" t="s">
        <v>264</v>
      </c>
      <c r="G205" s="211" t="e">
        <f>ROUNDUP('7990NTP-NP'!#REF!*0.1,2)</f>
        <v>#REF!</v>
      </c>
      <c r="H205" s="214"/>
      <c r="I205" s="154" t="s">
        <v>263</v>
      </c>
      <c r="J205" s="210" t="s">
        <v>264</v>
      </c>
      <c r="K205" s="211" t="e">
        <f>ROUNDUP('7990NTP-NP'!#REF!*0.1,2)</f>
        <v>#REF!</v>
      </c>
      <c r="L205" s="214"/>
      <c r="M205" s="250" t="s">
        <v>371</v>
      </c>
      <c r="N205" s="236" t="s">
        <v>373</v>
      </c>
      <c r="O205" s="211" t="e">
        <f>ROUNDUP('7990NTP-NP'!#REF!*0.1,2)</f>
        <v>#REF!</v>
      </c>
      <c r="P205" s="214"/>
      <c r="Q205" s="250" t="s">
        <v>371</v>
      </c>
      <c r="R205" s="236" t="s">
        <v>373</v>
      </c>
      <c r="S205" s="211" t="e">
        <f>ROUNDUP('7990NTP-NP'!#REF!*0.1,2)</f>
        <v>#REF!</v>
      </c>
      <c r="T205" s="214"/>
      <c r="U205" s="250" t="s">
        <v>371</v>
      </c>
      <c r="V205" s="236" t="s">
        <v>373</v>
      </c>
      <c r="W205" s="211" t="e">
        <f>ROUNDUP('7990NTP-NP'!#REF!*0.1,2)</f>
        <v>#REF!</v>
      </c>
      <c r="X205" s="214"/>
      <c r="Y205" s="250" t="s">
        <v>371</v>
      </c>
      <c r="Z205" s="236" t="s">
        <v>373</v>
      </c>
      <c r="AA205" s="211" t="e">
        <f>ROUNDUP('7990NTP-NP'!#REF!*0.1,2)</f>
        <v>#REF!</v>
      </c>
      <c r="AB205" s="214"/>
      <c r="AC205" s="216" t="e">
        <f>IF(C205+G205+K205+O205+S205+W205+AA205&gt;0,C205+G205+K205+O205+S205+W205+AA205,0)</f>
        <v>#REF!</v>
      </c>
      <c r="AD205" s="167"/>
    </row>
    <row r="206" spans="1:30" ht="14" hidden="1" x14ac:dyDescent="0.3">
      <c r="A206" s="256"/>
      <c r="B206" s="210"/>
      <c r="C206" s="211"/>
      <c r="D206" s="214"/>
      <c r="E206" s="250"/>
      <c r="F206" s="213"/>
      <c r="G206" s="211"/>
      <c r="H206" s="214"/>
      <c r="I206" s="250"/>
      <c r="J206" s="236"/>
      <c r="K206" s="211"/>
      <c r="L206" s="214"/>
      <c r="M206" s="250"/>
      <c r="N206" s="236"/>
      <c r="O206" s="211"/>
      <c r="P206" s="214"/>
      <c r="Q206" s="250"/>
      <c r="R206" s="236"/>
      <c r="S206" s="211"/>
      <c r="T206" s="214"/>
      <c r="U206" s="250"/>
      <c r="V206" s="236"/>
      <c r="W206" s="211"/>
      <c r="X206" s="214"/>
      <c r="Y206" s="250"/>
      <c r="Z206" s="236"/>
      <c r="AA206" s="211"/>
      <c r="AB206" s="214"/>
      <c r="AC206" s="216"/>
      <c r="AD206" s="167"/>
    </row>
    <row r="207" spans="1:30" ht="50.5" hidden="1" x14ac:dyDescent="0.3">
      <c r="A207" s="132" t="s">
        <v>265</v>
      </c>
      <c r="B207" s="210" t="s">
        <v>266</v>
      </c>
      <c r="C207" s="211" t="e">
        <f>ROUNDDOWN('7990NTP-NP'!#REF!*0.88,2)</f>
        <v>#REF!</v>
      </c>
      <c r="D207" s="233" t="e">
        <f>'7990NTP-NP'!#REF!</f>
        <v>#REF!</v>
      </c>
      <c r="E207" s="154" t="s">
        <v>265</v>
      </c>
      <c r="F207" s="213" t="s">
        <v>266</v>
      </c>
      <c r="G207" s="211" t="e">
        <f>ROUNDDOWN('7990NTP-NP'!#REF!*0.88,2)</f>
        <v>#REF!</v>
      </c>
      <c r="H207" s="233" t="e">
        <f>'7990NTP-NP'!#REF!</f>
        <v>#REF!</v>
      </c>
      <c r="I207" s="154" t="s">
        <v>265</v>
      </c>
      <c r="J207" s="210" t="s">
        <v>266</v>
      </c>
      <c r="K207" s="211" t="e">
        <f>ROUNDDOWN('7990NTP-NP'!#REF!*0.88,2)</f>
        <v>#REF!</v>
      </c>
      <c r="L207" s="233" t="e">
        <f>'7990NTP-NP'!#REF!</f>
        <v>#REF!</v>
      </c>
      <c r="M207" s="154" t="s">
        <v>265</v>
      </c>
      <c r="N207" s="210" t="s">
        <v>266</v>
      </c>
      <c r="O207" s="211" t="e">
        <f>ROUNDDOWN('7990NTP-NP'!#REF!*0.88,2)</f>
        <v>#REF!</v>
      </c>
      <c r="P207" s="233" t="e">
        <f>'7990NTP-NP'!#REF!</f>
        <v>#REF!</v>
      </c>
      <c r="Q207" s="154" t="s">
        <v>265</v>
      </c>
      <c r="R207" s="210" t="s">
        <v>266</v>
      </c>
      <c r="S207" s="211" t="e">
        <f>ROUNDDOWN('7990NTP-NP'!#REF!*0.88,2)</f>
        <v>#REF!</v>
      </c>
      <c r="T207" s="233" t="e">
        <f>'7990NTP-NP'!#REF!</f>
        <v>#REF!</v>
      </c>
      <c r="U207" s="154" t="s">
        <v>265</v>
      </c>
      <c r="V207" s="210" t="s">
        <v>266</v>
      </c>
      <c r="W207" s="211" t="e">
        <f>ROUNDDOWN('7990NTP-NP'!#REF!*0.88,2)</f>
        <v>#REF!</v>
      </c>
      <c r="X207" s="233" t="e">
        <f>'7990NTP-NP'!#REF!</f>
        <v>#REF!</v>
      </c>
      <c r="Y207" s="154" t="s">
        <v>265</v>
      </c>
      <c r="Z207" s="210" t="s">
        <v>266</v>
      </c>
      <c r="AA207" s="211" t="e">
        <f>ROUNDDOWN('7990NTP-NP'!#REF!*0.88,2)</f>
        <v>#REF!</v>
      </c>
      <c r="AB207" s="233" t="e">
        <f>'7990NTP-NP'!#REF!</f>
        <v>#REF!</v>
      </c>
      <c r="AC207" s="216" t="e">
        <f>IF(C207+G207+K207+O207+S207+W207+AA207&gt;0,C207+G207+K207+O207+S207+W207+AA207,0)</f>
        <v>#REF!</v>
      </c>
      <c r="AD207" s="167"/>
    </row>
    <row r="208" spans="1:30" ht="50.5" hidden="1" x14ac:dyDescent="0.3">
      <c r="A208" s="132" t="s">
        <v>267</v>
      </c>
      <c r="B208" s="210" t="s">
        <v>268</v>
      </c>
      <c r="C208" s="211" t="e">
        <f>ROUNDUP('7990NTP-NP'!#REF!*0.12,2)</f>
        <v>#REF!</v>
      </c>
      <c r="D208" s="214"/>
      <c r="E208" s="154" t="s">
        <v>267</v>
      </c>
      <c r="F208" s="213" t="s">
        <v>268</v>
      </c>
      <c r="G208" s="211" t="e">
        <f>ROUNDUP('7990NTP-NP'!#REF!*0.12,2)</f>
        <v>#REF!</v>
      </c>
      <c r="H208" s="214"/>
      <c r="I208" s="154" t="s">
        <v>267</v>
      </c>
      <c r="J208" s="210" t="s">
        <v>268</v>
      </c>
      <c r="K208" s="211" t="e">
        <f>ROUNDUP('7990NTP-NP'!#REF!*0.12,2)</f>
        <v>#REF!</v>
      </c>
      <c r="L208" s="214"/>
      <c r="M208" s="154" t="s">
        <v>267</v>
      </c>
      <c r="N208" s="210" t="s">
        <v>268</v>
      </c>
      <c r="O208" s="211" t="e">
        <f>ROUNDUP('7990NTP-NP'!#REF!*0.12,2)</f>
        <v>#REF!</v>
      </c>
      <c r="P208" s="214"/>
      <c r="Q208" s="154" t="s">
        <v>267</v>
      </c>
      <c r="R208" s="210" t="s">
        <v>268</v>
      </c>
      <c r="S208" s="211" t="e">
        <f>ROUNDUP('7990NTP-NP'!#REF!*0.12,2)</f>
        <v>#REF!</v>
      </c>
      <c r="T208" s="214"/>
      <c r="U208" s="154" t="s">
        <v>267</v>
      </c>
      <c r="V208" s="210" t="s">
        <v>268</v>
      </c>
      <c r="W208" s="211" t="e">
        <f>ROUNDUP('7990NTP-NP'!#REF!*0.12,2)</f>
        <v>#REF!</v>
      </c>
      <c r="X208" s="214"/>
      <c r="Y208" s="154" t="s">
        <v>267</v>
      </c>
      <c r="Z208" s="210" t="s">
        <v>268</v>
      </c>
      <c r="AA208" s="211" t="e">
        <f>ROUNDUP('7990NTP-NP'!#REF!*0.12,2)</f>
        <v>#REF!</v>
      </c>
      <c r="AB208" s="214"/>
      <c r="AC208" s="216" t="e">
        <f>IF(C208+G208+K208+O208+S208+W208+AA208&gt;0,C208+G208+K208+O208+S208+W208+AA208,0)</f>
        <v>#REF!</v>
      </c>
      <c r="AD208" s="167"/>
    </row>
    <row r="209" spans="1:30" x14ac:dyDescent="0.25">
      <c r="A209" s="209"/>
      <c r="B209" s="120"/>
      <c r="C209" s="252"/>
      <c r="D209" s="257"/>
      <c r="E209" s="258"/>
      <c r="F209" s="259"/>
      <c r="G209" s="260"/>
      <c r="H209" s="257"/>
      <c r="I209" s="258"/>
      <c r="J209" s="259"/>
      <c r="K209" s="260"/>
      <c r="L209" s="257"/>
      <c r="M209" s="258"/>
      <c r="N209" s="257"/>
      <c r="O209" s="257"/>
      <c r="P209" s="257"/>
      <c r="Q209" s="258"/>
      <c r="R209" s="257"/>
      <c r="S209" s="257"/>
      <c r="T209" s="257"/>
      <c r="U209" s="258"/>
      <c r="V209" s="257"/>
      <c r="W209" s="257"/>
      <c r="X209" s="257"/>
      <c r="Y209" s="258"/>
      <c r="Z209" s="257"/>
      <c r="AA209" s="257"/>
      <c r="AB209" s="257"/>
      <c r="AC209" s="261"/>
      <c r="AD209" s="167"/>
    </row>
    <row r="210" spans="1:30" ht="38" x14ac:dyDescent="0.3">
      <c r="A210" s="262">
        <v>84</v>
      </c>
      <c r="B210" s="210" t="s">
        <v>40</v>
      </c>
      <c r="C210" s="211">
        <f>F260</f>
        <v>0</v>
      </c>
      <c r="D210" s="263"/>
      <c r="E210" s="264"/>
      <c r="F210" s="265"/>
      <c r="G210" s="266"/>
      <c r="H210" s="263"/>
      <c r="I210" s="264"/>
      <c r="J210" s="265"/>
      <c r="K210" s="266"/>
      <c r="L210" s="263"/>
      <c r="M210" s="264"/>
      <c r="N210" s="263"/>
      <c r="O210" s="263"/>
      <c r="P210" s="263"/>
      <c r="Q210" s="264"/>
      <c r="R210" s="263"/>
      <c r="S210" s="263"/>
      <c r="T210" s="263"/>
      <c r="U210" s="264"/>
      <c r="V210" s="263"/>
      <c r="W210" s="263"/>
      <c r="X210" s="263"/>
      <c r="Y210" s="264"/>
      <c r="Z210" s="263"/>
      <c r="AA210" s="263"/>
      <c r="AB210" s="263"/>
      <c r="AC210" s="261"/>
      <c r="AD210" s="167"/>
    </row>
    <row r="211" spans="1:30" ht="25.5" x14ac:dyDescent="0.3">
      <c r="A211" s="209" t="s">
        <v>41</v>
      </c>
      <c r="B211" s="210" t="s">
        <v>42</v>
      </c>
      <c r="C211" s="211">
        <f>F263</f>
        <v>0</v>
      </c>
      <c r="D211" s="263"/>
      <c r="E211" s="264"/>
      <c r="F211" s="265"/>
      <c r="G211" s="266"/>
      <c r="H211" s="263"/>
      <c r="I211" s="264"/>
      <c r="J211" s="265"/>
      <c r="K211" s="266"/>
      <c r="L211" s="263"/>
      <c r="M211" s="264"/>
      <c r="N211" s="263"/>
      <c r="O211" s="263"/>
      <c r="P211" s="263"/>
      <c r="Q211" s="264"/>
      <c r="R211" s="263"/>
      <c r="S211" s="263"/>
      <c r="T211" s="263"/>
      <c r="U211" s="264"/>
      <c r="V211" s="263"/>
      <c r="W211" s="263"/>
      <c r="X211" s="263"/>
      <c r="Y211" s="264"/>
      <c r="Z211" s="263"/>
      <c r="AA211" s="263"/>
      <c r="AB211" s="263"/>
      <c r="AC211" s="261"/>
      <c r="AD211" s="167"/>
    </row>
    <row r="212" spans="1:30" ht="13" x14ac:dyDescent="0.3">
      <c r="A212" s="209"/>
      <c r="B212" s="267"/>
      <c r="C212" s="217"/>
      <c r="D212" s="263"/>
      <c r="E212" s="264"/>
      <c r="F212" s="265"/>
      <c r="G212" s="266"/>
      <c r="H212" s="263"/>
      <c r="I212" s="264"/>
      <c r="J212" s="265"/>
      <c r="K212" s="266"/>
      <c r="L212" s="263"/>
      <c r="M212" s="264"/>
      <c r="N212" s="263"/>
      <c r="O212" s="263"/>
      <c r="P212" s="263"/>
      <c r="Q212" s="264"/>
      <c r="R212" s="263"/>
      <c r="S212" s="263"/>
      <c r="T212" s="263"/>
      <c r="U212" s="264"/>
      <c r="V212" s="263"/>
      <c r="W212" s="263"/>
      <c r="X212" s="263"/>
      <c r="Y212" s="264"/>
      <c r="Z212" s="263"/>
      <c r="AA212" s="263"/>
      <c r="AB212" s="263"/>
      <c r="AC212" s="261"/>
      <c r="AD212" s="167"/>
    </row>
    <row r="213" spans="1:30" ht="13" x14ac:dyDescent="0.3">
      <c r="A213" s="268"/>
      <c r="B213" s="269"/>
      <c r="C213" s="270"/>
      <c r="D213" s="271"/>
      <c r="E213" s="271"/>
      <c r="F213" s="271"/>
      <c r="G213" s="272"/>
      <c r="H213" s="271"/>
      <c r="I213" s="271"/>
      <c r="J213" s="271"/>
      <c r="K213" s="272"/>
      <c r="L213" s="271"/>
      <c r="M213" s="271"/>
      <c r="N213" s="271"/>
      <c r="O213" s="188"/>
      <c r="P213" s="271"/>
      <c r="Q213" s="271"/>
      <c r="R213" s="271"/>
      <c r="S213" s="188"/>
      <c r="T213" s="271"/>
      <c r="U213" s="271"/>
      <c r="V213" s="271"/>
      <c r="W213" s="188"/>
      <c r="X213" s="271"/>
      <c r="Y213" s="271"/>
      <c r="Z213" s="271"/>
      <c r="AA213" s="188"/>
      <c r="AB213" s="271"/>
      <c r="AC213" s="273"/>
      <c r="AD213" s="167"/>
    </row>
    <row r="214" spans="1:30" ht="13.5" thickBot="1" x14ac:dyDescent="0.35">
      <c r="A214" s="268"/>
      <c r="B214" s="274"/>
      <c r="C214" s="275"/>
      <c r="D214" s="276"/>
      <c r="E214" s="276"/>
      <c r="F214" s="276"/>
      <c r="G214" s="277"/>
      <c r="H214" s="167"/>
      <c r="I214" s="167"/>
      <c r="J214" s="167"/>
      <c r="K214" s="278"/>
      <c r="L214" s="279"/>
      <c r="M214" s="279"/>
      <c r="N214" s="279"/>
      <c r="O214" s="188"/>
      <c r="P214" s="279"/>
      <c r="Q214" s="279"/>
      <c r="R214" s="279"/>
      <c r="S214" s="188"/>
      <c r="T214" s="279"/>
      <c r="U214" s="279"/>
      <c r="V214" s="279"/>
      <c r="W214" s="188"/>
      <c r="X214" s="279"/>
      <c r="Y214" s="279"/>
      <c r="Z214" s="279"/>
      <c r="AA214" s="188"/>
      <c r="AB214" s="279"/>
      <c r="AC214" s="167"/>
      <c r="AD214" s="167"/>
    </row>
    <row r="215" spans="1:30" ht="13.5" customHeight="1" thickBot="1" x14ac:dyDescent="0.35">
      <c r="A215" s="280"/>
      <c r="B215" s="578" t="s">
        <v>57</v>
      </c>
      <c r="C215" s="579"/>
      <c r="D215" s="580"/>
      <c r="E215" s="281"/>
      <c r="F215" s="281"/>
      <c r="G215" s="282"/>
      <c r="H215" s="283"/>
      <c r="I215" s="283"/>
      <c r="J215" s="283"/>
      <c r="K215" s="284"/>
      <c r="L215" s="188"/>
      <c r="M215" s="188"/>
      <c r="N215" s="188"/>
      <c r="O215" s="188"/>
      <c r="P215" s="188"/>
      <c r="Q215" s="188"/>
      <c r="R215" s="188"/>
      <c r="S215" s="188"/>
      <c r="T215" s="188"/>
      <c r="U215" s="188"/>
      <c r="V215" s="188"/>
      <c r="W215" s="188"/>
      <c r="X215" s="188"/>
      <c r="Y215" s="188"/>
      <c r="Z215" s="188"/>
      <c r="AA215" s="188"/>
      <c r="AB215" s="188"/>
      <c r="AC215" s="167"/>
      <c r="AD215" s="167"/>
    </row>
    <row r="216" spans="1:30" ht="42" x14ac:dyDescent="0.3">
      <c r="A216" s="205" t="s">
        <v>43</v>
      </c>
      <c r="B216" s="285" t="s">
        <v>66</v>
      </c>
      <c r="C216" s="203">
        <f>SUM('7990NTP-NP'!K12*1)</f>
        <v>0</v>
      </c>
      <c r="D216" s="286">
        <f>'7990NTP-NP'!C12</f>
        <v>0</v>
      </c>
      <c r="E216" s="219" t="s">
        <v>43</v>
      </c>
      <c r="F216" s="287" t="s">
        <v>66</v>
      </c>
      <c r="G216" s="211">
        <f>SUM('7990NTP-NP'!L12*1)</f>
        <v>0</v>
      </c>
      <c r="H216" s="233">
        <f>'7990NTP-NP'!D12</f>
        <v>0</v>
      </c>
      <c r="I216" s="219" t="s">
        <v>43</v>
      </c>
      <c r="J216" s="287" t="s">
        <v>66</v>
      </c>
      <c r="K216" s="211">
        <f>SUM('7990NTP-NP'!M12*1)</f>
        <v>0</v>
      </c>
      <c r="L216" s="233">
        <f>'7990NTP-NP'!E12</f>
        <v>0</v>
      </c>
      <c r="M216" s="219" t="s">
        <v>43</v>
      </c>
      <c r="N216" s="287" t="s">
        <v>66</v>
      </c>
      <c r="O216" s="211">
        <f>SUM('7990NTP-NP'!N12*1)</f>
        <v>0</v>
      </c>
      <c r="P216" s="233">
        <f>'7990NTP-NP'!F12</f>
        <v>0</v>
      </c>
      <c r="Q216" s="219" t="s">
        <v>43</v>
      </c>
      <c r="R216" s="287" t="s">
        <v>66</v>
      </c>
      <c r="S216" s="211">
        <f>SUM('7990NTP-NP'!O12*1)</f>
        <v>0</v>
      </c>
      <c r="T216" s="233">
        <f>'7990NTP-NP'!G12</f>
        <v>0</v>
      </c>
      <c r="U216" s="219" t="s">
        <v>43</v>
      </c>
      <c r="V216" s="287" t="s">
        <v>66</v>
      </c>
      <c r="W216" s="211">
        <f>SUM('7990NTP-NP'!P12*1)</f>
        <v>0</v>
      </c>
      <c r="X216" s="233">
        <f>'7990NTP-NP'!H12</f>
        <v>0</v>
      </c>
      <c r="Y216" s="219" t="s">
        <v>43</v>
      </c>
      <c r="Z216" s="287" t="s">
        <v>66</v>
      </c>
      <c r="AA216" s="211">
        <f>SUM('7990NTP-NP'!Q12*1)</f>
        <v>0</v>
      </c>
      <c r="AB216" s="233">
        <f>'7990NTP-NP'!I12</f>
        <v>0</v>
      </c>
      <c r="AC216" s="216">
        <f>IF(C216+G216+K216+O216+S216+W216+AA216&gt;0,C216+G216+K216+O216+S216+W216+AA216,0)</f>
        <v>0</v>
      </c>
      <c r="AD216" s="167"/>
    </row>
    <row r="217" spans="1:30" ht="28" x14ac:dyDescent="0.3">
      <c r="A217" s="288">
        <v>84</v>
      </c>
      <c r="B217" s="289" t="s">
        <v>50</v>
      </c>
      <c r="C217" s="290">
        <f>F261</f>
        <v>0</v>
      </c>
      <c r="D217" s="291"/>
      <c r="E217" s="276"/>
      <c r="F217" s="276"/>
      <c r="G217" s="277"/>
      <c r="H217" s="273"/>
      <c r="I217" s="273"/>
      <c r="J217" s="273"/>
      <c r="K217" s="278"/>
      <c r="L217" s="279"/>
      <c r="M217" s="279"/>
      <c r="N217" s="279"/>
      <c r="O217" s="278"/>
      <c r="P217" s="279"/>
      <c r="Q217" s="279"/>
      <c r="R217" s="279"/>
      <c r="S217" s="278"/>
      <c r="T217" s="279"/>
      <c r="U217" s="279"/>
      <c r="V217" s="279"/>
      <c r="W217" s="278"/>
      <c r="X217" s="279"/>
      <c r="Y217" s="279"/>
      <c r="Z217" s="279"/>
      <c r="AA217" s="278"/>
      <c r="AB217" s="279"/>
      <c r="AC217" s="292"/>
      <c r="AD217" s="167"/>
    </row>
    <row r="218" spans="1:30" ht="14" x14ac:dyDescent="0.3">
      <c r="A218" s="293" t="s">
        <v>41</v>
      </c>
      <c r="B218" s="294" t="s">
        <v>46</v>
      </c>
      <c r="C218" s="290">
        <f>F264</f>
        <v>0</v>
      </c>
      <c r="D218" s="295"/>
      <c r="E218" s="276"/>
      <c r="F218" s="276"/>
      <c r="G218" s="277"/>
      <c r="H218" s="273"/>
      <c r="I218" s="273"/>
      <c r="J218" s="273"/>
      <c r="K218" s="278"/>
      <c r="L218" s="279"/>
      <c r="M218" s="279"/>
      <c r="N218" s="279"/>
      <c r="O218" s="278"/>
      <c r="P218" s="279"/>
      <c r="Q218" s="279"/>
      <c r="R218" s="279"/>
      <c r="S218" s="278"/>
      <c r="T218" s="279"/>
      <c r="U218" s="279"/>
      <c r="V218" s="279"/>
      <c r="W218" s="278"/>
      <c r="X218" s="279"/>
      <c r="Y218" s="279"/>
      <c r="Z218" s="279"/>
      <c r="AA218" s="278"/>
      <c r="AB218" s="279"/>
      <c r="AC218" s="292"/>
      <c r="AD218" s="167"/>
    </row>
    <row r="219" spans="1:30" ht="14.5" thickBot="1" x14ac:dyDescent="0.35">
      <c r="A219" s="249"/>
      <c r="B219" s="235"/>
      <c r="C219" s="296"/>
      <c r="D219" s="276"/>
      <c r="E219" s="276"/>
      <c r="F219" s="276"/>
      <c r="G219" s="277"/>
      <c r="H219" s="273"/>
      <c r="I219" s="273"/>
      <c r="J219" s="273"/>
      <c r="K219" s="278"/>
      <c r="L219" s="279"/>
      <c r="M219" s="279"/>
      <c r="N219" s="279"/>
      <c r="O219" s="278"/>
      <c r="P219" s="279"/>
      <c r="Q219" s="279"/>
      <c r="R219" s="279"/>
      <c r="S219" s="278"/>
      <c r="T219" s="279"/>
      <c r="U219" s="279"/>
      <c r="V219" s="279"/>
      <c r="W219" s="278"/>
      <c r="X219" s="279"/>
      <c r="Y219" s="279"/>
      <c r="Z219" s="279"/>
      <c r="AA219" s="278"/>
      <c r="AB219" s="279"/>
      <c r="AC219" s="292"/>
      <c r="AD219" s="167"/>
    </row>
    <row r="220" spans="1:30" ht="14.5" thickBot="1" x14ac:dyDescent="0.35">
      <c r="A220" s="268"/>
      <c r="B220" s="274"/>
      <c r="C220" s="275"/>
      <c r="D220" s="276"/>
      <c r="E220" s="276"/>
      <c r="F220" s="276"/>
      <c r="G220" s="277"/>
      <c r="H220" s="273"/>
      <c r="I220" s="273"/>
      <c r="J220" s="273"/>
      <c r="K220" s="278"/>
      <c r="L220" s="279"/>
      <c r="M220" s="279"/>
      <c r="N220" s="279"/>
      <c r="O220" s="278"/>
      <c r="P220" s="279"/>
      <c r="Q220" s="279"/>
      <c r="R220" s="279"/>
      <c r="S220" s="278"/>
      <c r="T220" s="279"/>
      <c r="U220" s="279"/>
      <c r="V220" s="279"/>
      <c r="W220" s="278"/>
      <c r="X220" s="279"/>
      <c r="Y220" s="279"/>
      <c r="Z220" s="279"/>
      <c r="AA220" s="278"/>
      <c r="AB220" s="279"/>
      <c r="AC220" s="292"/>
      <c r="AD220" s="167"/>
    </row>
    <row r="221" spans="1:30" ht="14.5" thickBot="1" x14ac:dyDescent="0.35">
      <c r="A221" s="280"/>
      <c r="B221" s="578" t="s">
        <v>56</v>
      </c>
      <c r="C221" s="579"/>
      <c r="D221" s="580"/>
      <c r="E221" s="281"/>
      <c r="F221" s="281"/>
      <c r="G221" s="282"/>
      <c r="H221" s="283"/>
      <c r="I221" s="283"/>
      <c r="J221" s="283"/>
      <c r="K221" s="284"/>
      <c r="L221" s="188"/>
      <c r="M221" s="188"/>
      <c r="N221" s="188"/>
      <c r="O221" s="284"/>
      <c r="P221" s="188"/>
      <c r="Q221" s="188"/>
      <c r="R221" s="188"/>
      <c r="S221" s="284"/>
      <c r="T221" s="188"/>
      <c r="U221" s="188"/>
      <c r="V221" s="188"/>
      <c r="W221" s="284"/>
      <c r="X221" s="188"/>
      <c r="Y221" s="188"/>
      <c r="Z221" s="188"/>
      <c r="AA221" s="284"/>
      <c r="AB221" s="188"/>
      <c r="AC221" s="292"/>
      <c r="AD221" s="167"/>
    </row>
    <row r="222" spans="1:30" ht="63" x14ac:dyDescent="0.3">
      <c r="A222" s="205" t="s">
        <v>44</v>
      </c>
      <c r="B222" s="285" t="s">
        <v>67</v>
      </c>
      <c r="C222" s="203">
        <f>SUM('7990NTP-NP'!K23*1)</f>
        <v>0</v>
      </c>
      <c r="D222" s="286">
        <f>'7990NTP-NP'!C23</f>
        <v>0</v>
      </c>
      <c r="E222" s="219" t="s">
        <v>44</v>
      </c>
      <c r="F222" s="287" t="s">
        <v>67</v>
      </c>
      <c r="G222" s="211">
        <f>SUM('7990NTP-NP'!L23*1)</f>
        <v>0</v>
      </c>
      <c r="H222" s="233">
        <f>'7990NTP-NP'!D23</f>
        <v>0</v>
      </c>
      <c r="I222" s="219" t="s">
        <v>44</v>
      </c>
      <c r="J222" s="287" t="s">
        <v>67</v>
      </c>
      <c r="K222" s="211">
        <f>SUM('7990NTP-NP'!M23*1)</f>
        <v>0</v>
      </c>
      <c r="L222" s="233">
        <f>'7990NTP-NP'!E23</f>
        <v>0</v>
      </c>
      <c r="M222" s="219" t="s">
        <v>44</v>
      </c>
      <c r="N222" s="287" t="s">
        <v>67</v>
      </c>
      <c r="O222" s="211">
        <f>SUM('7990NTP-NP'!N23*1)</f>
        <v>0</v>
      </c>
      <c r="P222" s="233">
        <f>'7990NTP-NP'!F23</f>
        <v>0</v>
      </c>
      <c r="Q222" s="219" t="s">
        <v>44</v>
      </c>
      <c r="R222" s="287" t="s">
        <v>67</v>
      </c>
      <c r="S222" s="211">
        <f>SUM('7990NTP-NP'!O23*1)</f>
        <v>0</v>
      </c>
      <c r="T222" s="233">
        <f>'7990NTP-NP'!G23</f>
        <v>0</v>
      </c>
      <c r="U222" s="219" t="s">
        <v>44</v>
      </c>
      <c r="V222" s="287" t="s">
        <v>67</v>
      </c>
      <c r="W222" s="211">
        <f>SUM('7990NTP-NP'!P23*1)</f>
        <v>0</v>
      </c>
      <c r="X222" s="233">
        <f>'7990NTP-NP'!H23</f>
        <v>0</v>
      </c>
      <c r="Y222" s="219" t="s">
        <v>44</v>
      </c>
      <c r="Z222" s="287" t="s">
        <v>67</v>
      </c>
      <c r="AA222" s="211">
        <f>SUM('7990NTP-NP'!Q23*1)</f>
        <v>0</v>
      </c>
      <c r="AB222" s="233">
        <f>'7990NTP-NP'!I23</f>
        <v>0</v>
      </c>
      <c r="AC222" s="216">
        <f>IF(C222+G222+K222+O222+S222+W222+AA222&gt;0,C222+G222+K222+O222+S222+W222+AA222,0)</f>
        <v>0</v>
      </c>
      <c r="AD222" s="167"/>
    </row>
    <row r="223" spans="1:30" ht="70" x14ac:dyDescent="0.3">
      <c r="A223" s="469" t="s">
        <v>690</v>
      </c>
      <c r="B223" s="468" t="s">
        <v>689</v>
      </c>
      <c r="C223" s="211">
        <f>ROUNDDOWN('7990NTP-NP'!$K$24*0.6934,2)</f>
        <v>0</v>
      </c>
      <c r="D223" s="224">
        <f>'7990NTP-NP'!C24</f>
        <v>0</v>
      </c>
      <c r="E223" s="470" t="s">
        <v>690</v>
      </c>
      <c r="F223" s="468" t="s">
        <v>689</v>
      </c>
      <c r="G223" s="211">
        <f>ROUNDDOWN('7990NTP-NP'!$L$24*0.6934,2)</f>
        <v>0</v>
      </c>
      <c r="H223" s="233">
        <f>'7990NTP-NP'!D24</f>
        <v>0</v>
      </c>
      <c r="I223" s="471" t="s">
        <v>690</v>
      </c>
      <c r="J223" s="468" t="s">
        <v>689</v>
      </c>
      <c r="K223" s="211">
        <f>ROUNDDOWN('7990NTP-NP'!$M$24*0.6934,2)</f>
        <v>0</v>
      </c>
      <c r="L223" s="233">
        <f>'7990NTP-NP'!E24</f>
        <v>0</v>
      </c>
      <c r="M223" s="471" t="s">
        <v>690</v>
      </c>
      <c r="N223" s="468" t="s">
        <v>689</v>
      </c>
      <c r="O223" s="211">
        <f>ROUNDDOWN('7990NTP-NP'!$N$24*0.6934,2)</f>
        <v>0</v>
      </c>
      <c r="P223" s="233">
        <f>'7990NTP-NP'!F24</f>
        <v>0</v>
      </c>
      <c r="Q223" s="471" t="s">
        <v>690</v>
      </c>
      <c r="R223" s="468" t="s">
        <v>689</v>
      </c>
      <c r="S223" s="211">
        <f>ROUNDDOWN('7990NTP-NP'!$O$24*0.6934,2)</f>
        <v>0</v>
      </c>
      <c r="T223" s="233">
        <f>'7990NTP-NP'!G24</f>
        <v>0</v>
      </c>
      <c r="U223" s="471" t="s">
        <v>690</v>
      </c>
      <c r="V223" s="468" t="s">
        <v>689</v>
      </c>
      <c r="W223" s="211">
        <f>ROUNDDOWN('7990NTP-NP'!$P$24*0.6934,2)</f>
        <v>0</v>
      </c>
      <c r="X223" s="224">
        <f>'7990NTP-NP'!H24</f>
        <v>0</v>
      </c>
      <c r="Y223" s="470" t="s">
        <v>690</v>
      </c>
      <c r="Z223" s="468" t="s">
        <v>689</v>
      </c>
      <c r="AA223" s="211">
        <f>ROUNDDOWN('7990NTP-NP'!$Q$24*0.6934,2)</f>
        <v>0</v>
      </c>
      <c r="AB223" s="233">
        <f>'7990NTP-NP'!I24</f>
        <v>0</v>
      </c>
      <c r="AC223" s="216">
        <f>IF(C223+G223+K223+O223+S223+W223+AA223&gt;0,C223+G223+K223+O223+S223+W223+AA223,0)</f>
        <v>0</v>
      </c>
      <c r="AD223" s="167"/>
    </row>
    <row r="224" spans="1:30" ht="70" x14ac:dyDescent="0.3">
      <c r="A224" s="469" t="s">
        <v>691</v>
      </c>
      <c r="B224" s="468" t="s">
        <v>707</v>
      </c>
      <c r="C224" s="211">
        <f>ROUNDUP('7990NTP-NP'!$K$24*0.3066,2)</f>
        <v>0</v>
      </c>
      <c r="D224" s="233"/>
      <c r="E224" s="471" t="s">
        <v>691</v>
      </c>
      <c r="F224" s="468" t="s">
        <v>707</v>
      </c>
      <c r="G224" s="211">
        <f>ROUNDUP('7990NTP-NP'!$L$24*0.3066,2)</f>
        <v>0</v>
      </c>
      <c r="H224" s="224"/>
      <c r="I224" s="470" t="s">
        <v>691</v>
      </c>
      <c r="J224" s="468" t="s">
        <v>707</v>
      </c>
      <c r="K224" s="211">
        <f>ROUNDUP('7990NTP-NP'!$M$24*0.3066,2)</f>
        <v>0</v>
      </c>
      <c r="L224" s="224"/>
      <c r="M224" s="470" t="s">
        <v>691</v>
      </c>
      <c r="N224" s="468" t="s">
        <v>707</v>
      </c>
      <c r="O224" s="211">
        <f>ROUNDUP('7990NTP-NP'!$N$24*0.3066,2)</f>
        <v>0</v>
      </c>
      <c r="P224" s="224"/>
      <c r="Q224" s="470" t="s">
        <v>691</v>
      </c>
      <c r="R224" s="468" t="s">
        <v>707</v>
      </c>
      <c r="S224" s="211">
        <f>ROUNDUP('7990NTP-NP'!$O$24*0.3066,2)</f>
        <v>0</v>
      </c>
      <c r="T224" s="224"/>
      <c r="U224" s="470" t="s">
        <v>691</v>
      </c>
      <c r="V224" s="468" t="s">
        <v>707</v>
      </c>
      <c r="W224" s="211">
        <f>ROUNDUP('7990NTP-NP'!$P$24*0.3066,2)</f>
        <v>0</v>
      </c>
      <c r="X224" s="233"/>
      <c r="Y224" s="471" t="s">
        <v>691</v>
      </c>
      <c r="Z224" s="468" t="s">
        <v>707</v>
      </c>
      <c r="AA224" s="211">
        <f>ROUNDUP('7990NTP-NP'!$Q$24*0.3066,2)</f>
        <v>0</v>
      </c>
      <c r="AB224" s="233"/>
      <c r="AC224" s="216">
        <f>IF(C224+G224+K224+O224+S224+W224+AA224&gt;0,C224+G224+K224+O224+S224+W224+AA224,0)</f>
        <v>0</v>
      </c>
      <c r="AD224" s="167"/>
    </row>
    <row r="225" spans="1:30" ht="63" x14ac:dyDescent="0.3">
      <c r="A225" s="130" t="s">
        <v>269</v>
      </c>
      <c r="B225" s="297" t="s">
        <v>270</v>
      </c>
      <c r="C225" s="211">
        <f>ROUNDDOWN('7990NTP-NP'!$K$25*0.765,2)</f>
        <v>0</v>
      </c>
      <c r="D225" s="233">
        <f>'7990NTP-NP'!C25</f>
        <v>0</v>
      </c>
      <c r="E225" s="219" t="s">
        <v>269</v>
      </c>
      <c r="F225" s="287" t="s">
        <v>270</v>
      </c>
      <c r="G225" s="211">
        <f>ROUNDDOWN('7990NTP-NP'!$L$25*0.765,2)</f>
        <v>0</v>
      </c>
      <c r="H225" s="233">
        <f>'7990NTP-NP'!D25</f>
        <v>0</v>
      </c>
      <c r="I225" s="219" t="s">
        <v>269</v>
      </c>
      <c r="J225" s="287" t="s">
        <v>270</v>
      </c>
      <c r="K225" s="211">
        <f>ROUNDDOWN('7990NTP-NP'!M25*0.765,2)</f>
        <v>0</v>
      </c>
      <c r="L225" s="233">
        <f>'7990NTP-NP'!E25</f>
        <v>0</v>
      </c>
      <c r="M225" s="219" t="s">
        <v>269</v>
      </c>
      <c r="N225" s="287" t="s">
        <v>270</v>
      </c>
      <c r="O225" s="211">
        <f>ROUNDDOWN('7990NTP-NP'!N25*0.765,2)</f>
        <v>0</v>
      </c>
      <c r="P225" s="233">
        <f>'7990NTP-NP'!F25</f>
        <v>0</v>
      </c>
      <c r="Q225" s="219" t="s">
        <v>269</v>
      </c>
      <c r="R225" s="287" t="s">
        <v>270</v>
      </c>
      <c r="S225" s="211">
        <f>ROUNDDOWN('7990NTP-NP'!O25*0.765,2)</f>
        <v>0</v>
      </c>
      <c r="T225" s="233">
        <f>'7990NTP-NP'!G25</f>
        <v>0</v>
      </c>
      <c r="U225" s="219" t="s">
        <v>269</v>
      </c>
      <c r="V225" s="287" t="s">
        <v>270</v>
      </c>
      <c r="W225" s="211">
        <f>ROUNDDOWN('7990NTP-NP'!P25*0.765,2)</f>
        <v>0</v>
      </c>
      <c r="X225" s="233">
        <f>'7990NTP-NP'!H25</f>
        <v>0</v>
      </c>
      <c r="Y225" s="219" t="s">
        <v>269</v>
      </c>
      <c r="Z225" s="287" t="s">
        <v>270</v>
      </c>
      <c r="AA225" s="211">
        <f>ROUNDDOWN('7990NTP-NP'!Q25*0.765,2)</f>
        <v>0</v>
      </c>
      <c r="AB225" s="233">
        <f>'7990NTP-NP'!I25</f>
        <v>0</v>
      </c>
      <c r="AC225" s="216">
        <f>IF(C225+G225+K225+O225+S225+W225+AA225&gt;0,C225+G225+K225+O225+S225+W225+AA225,0)</f>
        <v>0</v>
      </c>
      <c r="AD225" s="167"/>
    </row>
    <row r="226" spans="1:30" ht="63" x14ac:dyDescent="0.3">
      <c r="A226" s="130" t="s">
        <v>271</v>
      </c>
      <c r="B226" s="297" t="s">
        <v>272</v>
      </c>
      <c r="C226" s="211">
        <f>ROUNDUP('7990NTP-NP'!$K$25*0.235,2)</f>
        <v>0</v>
      </c>
      <c r="D226" s="233"/>
      <c r="E226" s="219" t="s">
        <v>271</v>
      </c>
      <c r="F226" s="287" t="s">
        <v>272</v>
      </c>
      <c r="G226" s="211">
        <f>ROUNDUP('7990NTP-NP'!$L$25*0.235,2)</f>
        <v>0</v>
      </c>
      <c r="H226" s="233"/>
      <c r="I226" s="219" t="s">
        <v>271</v>
      </c>
      <c r="J226" s="287" t="s">
        <v>272</v>
      </c>
      <c r="K226" s="211">
        <f>ROUNDUP('7990NTP-NP'!M25*0.235,2)</f>
        <v>0</v>
      </c>
      <c r="L226" s="233"/>
      <c r="M226" s="219" t="s">
        <v>271</v>
      </c>
      <c r="N226" s="287" t="s">
        <v>272</v>
      </c>
      <c r="O226" s="211">
        <f>ROUNDUP('7990NTP-NP'!N25*0.235,2)</f>
        <v>0</v>
      </c>
      <c r="P226" s="298"/>
      <c r="Q226" s="219" t="s">
        <v>271</v>
      </c>
      <c r="R226" s="287" t="s">
        <v>272</v>
      </c>
      <c r="S226" s="211">
        <f>ROUNDUP('7990NTP-NP'!O25*0.235,2)</f>
        <v>0</v>
      </c>
      <c r="T226" s="299"/>
      <c r="U226" s="219" t="s">
        <v>271</v>
      </c>
      <c r="V226" s="287" t="s">
        <v>272</v>
      </c>
      <c r="W226" s="211">
        <f>ROUNDUP('7990NTP-NP'!P25*0.235,2)</f>
        <v>0</v>
      </c>
      <c r="X226" s="299"/>
      <c r="Y226" s="219" t="s">
        <v>271</v>
      </c>
      <c r="Z226" s="287" t="s">
        <v>272</v>
      </c>
      <c r="AA226" s="211">
        <f>ROUNDUP('7990NTP-NP'!Q25*0.235,2)</f>
        <v>0</v>
      </c>
      <c r="AB226" s="300"/>
      <c r="AC226" s="216">
        <f>IF(C226+G226+K226+O226+S226+W226+AA226&gt;0,C226+G226+K226+O226+S226+W226+AA226,0)</f>
        <v>0</v>
      </c>
      <c r="AD226" s="167"/>
    </row>
    <row r="227" spans="1:30" ht="14" x14ac:dyDescent="0.3">
      <c r="A227" s="249"/>
      <c r="B227" s="289"/>
      <c r="C227" s="211"/>
      <c r="D227" s="301"/>
      <c r="E227" s="301"/>
      <c r="F227" s="301"/>
      <c r="G227" s="302"/>
      <c r="H227" s="301"/>
      <c r="I227" s="301"/>
      <c r="J227" s="301"/>
      <c r="K227" s="302"/>
      <c r="L227" s="301"/>
      <c r="M227" s="301"/>
      <c r="N227" s="301"/>
      <c r="O227" s="187"/>
      <c r="P227" s="187"/>
      <c r="Q227" s="187"/>
      <c r="R227" s="187"/>
      <c r="S227" s="187"/>
      <c r="T227" s="187"/>
      <c r="U227" s="187"/>
      <c r="V227" s="187"/>
      <c r="W227" s="187"/>
      <c r="X227" s="187"/>
      <c r="Y227" s="187"/>
      <c r="Z227" s="187"/>
      <c r="AA227" s="187"/>
      <c r="AB227" s="187"/>
      <c r="AC227" s="187"/>
      <c r="AD227" s="167"/>
    </row>
    <row r="228" spans="1:30" ht="28" x14ac:dyDescent="0.3">
      <c r="A228" s="303">
        <v>84</v>
      </c>
      <c r="B228" s="304" t="s">
        <v>51</v>
      </c>
      <c r="C228" s="305">
        <f>F262</f>
        <v>0</v>
      </c>
      <c r="D228" s="306"/>
      <c r="E228" s="306"/>
      <c r="F228" s="306"/>
      <c r="G228" s="307"/>
      <c r="H228" s="308"/>
      <c r="I228" s="308"/>
      <c r="J228" s="308"/>
      <c r="K228" s="309"/>
      <c r="L228" s="310"/>
      <c r="M228" s="310"/>
      <c r="N228" s="310"/>
      <c r="O228" s="187"/>
      <c r="P228" s="187"/>
      <c r="Q228" s="187"/>
      <c r="R228" s="187"/>
      <c r="S228" s="187"/>
      <c r="T228" s="187"/>
      <c r="U228" s="187"/>
      <c r="V228" s="187"/>
      <c r="W228" s="187"/>
      <c r="X228" s="187"/>
      <c r="Y228" s="187"/>
      <c r="Z228" s="187"/>
      <c r="AA228" s="187"/>
      <c r="AB228" s="187"/>
      <c r="AC228" s="187"/>
    </row>
    <row r="229" spans="1:30" ht="14" x14ac:dyDescent="0.3">
      <c r="A229" s="293" t="s">
        <v>41</v>
      </c>
      <c r="B229" s="311" t="s">
        <v>46</v>
      </c>
      <c r="C229" s="290">
        <f>F265</f>
        <v>0</v>
      </c>
      <c r="D229" s="312"/>
      <c r="E229" s="306"/>
      <c r="F229" s="306"/>
      <c r="G229" s="307"/>
      <c r="H229" s="313"/>
      <c r="I229" s="313"/>
      <c r="J229" s="313"/>
      <c r="K229" s="309"/>
      <c r="L229" s="195"/>
      <c r="M229" s="195"/>
      <c r="N229" s="195"/>
      <c r="O229" s="187"/>
      <c r="P229" s="187"/>
      <c r="Q229" s="187"/>
      <c r="R229" s="187"/>
      <c r="S229" s="187"/>
      <c r="T229" s="187"/>
      <c r="U229" s="187"/>
      <c r="V229" s="187"/>
      <c r="W229" s="187"/>
      <c r="X229" s="187"/>
      <c r="Y229" s="187"/>
      <c r="Z229" s="187"/>
      <c r="AA229" s="187"/>
      <c r="AB229" s="187"/>
      <c r="AC229" s="187"/>
    </row>
    <row r="230" spans="1:30" ht="13.5" thickBot="1" x14ac:dyDescent="0.35">
      <c r="A230" s="314"/>
      <c r="B230" s="315"/>
      <c r="C230" s="316"/>
      <c r="D230" s="317"/>
      <c r="E230" s="317"/>
      <c r="F230" s="317"/>
      <c r="G230" s="318"/>
      <c r="H230" s="319"/>
      <c r="I230" s="319"/>
      <c r="J230" s="319"/>
      <c r="K230" s="320"/>
      <c r="L230" s="321"/>
      <c r="M230" s="321"/>
      <c r="N230" s="321"/>
      <c r="O230" s="187"/>
      <c r="P230" s="187"/>
      <c r="Q230" s="187"/>
      <c r="R230" s="187"/>
      <c r="S230" s="187"/>
      <c r="T230" s="187"/>
      <c r="U230" s="187"/>
      <c r="V230" s="187"/>
      <c r="W230" s="187"/>
      <c r="X230" s="187"/>
      <c r="Y230" s="187"/>
      <c r="Z230" s="187"/>
      <c r="AA230" s="187"/>
      <c r="AB230" s="187"/>
      <c r="AC230" s="187"/>
    </row>
    <row r="231" spans="1:30" ht="13" x14ac:dyDescent="0.3">
      <c r="A231" s="179"/>
      <c r="B231" s="161"/>
      <c r="C231" s="180"/>
      <c r="D231" s="317"/>
      <c r="E231" s="317"/>
      <c r="F231" s="317"/>
      <c r="G231" s="322"/>
      <c r="H231" s="319"/>
      <c r="I231" s="319"/>
      <c r="J231" s="319"/>
      <c r="K231" s="322"/>
      <c r="L231" s="321"/>
      <c r="M231" s="321"/>
      <c r="N231" s="321"/>
    </row>
    <row r="232" spans="1:30" s="188" customFormat="1" ht="13.5" thickBot="1" x14ac:dyDescent="0.35">
      <c r="A232" s="183"/>
      <c r="B232" s="189"/>
      <c r="C232" s="318"/>
      <c r="D232" s="323"/>
      <c r="E232" s="323"/>
      <c r="F232" s="323"/>
      <c r="G232" s="318"/>
      <c r="H232" s="98"/>
      <c r="I232" s="98"/>
      <c r="J232" s="98"/>
      <c r="K232" s="184"/>
      <c r="L232" s="185"/>
      <c r="M232" s="185"/>
      <c r="N232" s="185"/>
      <c r="O232" s="166"/>
      <c r="P232" s="166"/>
      <c r="Q232" s="166"/>
      <c r="R232" s="166"/>
      <c r="S232" s="166"/>
      <c r="T232" s="166"/>
      <c r="U232" s="166"/>
      <c r="V232" s="166"/>
      <c r="W232" s="166"/>
      <c r="X232" s="166"/>
      <c r="Y232" s="166"/>
      <c r="Z232" s="166"/>
      <c r="AA232" s="166"/>
      <c r="AB232" s="166"/>
      <c r="AC232" s="166"/>
      <c r="AD232" s="187"/>
    </row>
    <row r="233" spans="1:30" s="188" customFormat="1" ht="16.5" customHeight="1" thickBot="1" x14ac:dyDescent="0.4">
      <c r="A233" s="98"/>
      <c r="B233" s="581" t="s">
        <v>92</v>
      </c>
      <c r="C233" s="582"/>
      <c r="D233" s="583"/>
      <c r="E233" s="324" t="s">
        <v>10</v>
      </c>
      <c r="F233" s="325" t="s">
        <v>20</v>
      </c>
      <c r="G233" s="326" t="s">
        <v>21</v>
      </c>
      <c r="H233" s="327" t="s">
        <v>22</v>
      </c>
      <c r="I233" s="327" t="s">
        <v>115</v>
      </c>
      <c r="J233" s="187"/>
      <c r="K233" s="187"/>
      <c r="L233" s="169"/>
      <c r="M233" s="169"/>
      <c r="N233" s="169"/>
      <c r="O233" s="166"/>
      <c r="P233" s="166"/>
      <c r="Q233" s="166"/>
      <c r="R233" s="166"/>
      <c r="S233" s="166"/>
      <c r="T233" s="166"/>
      <c r="U233" s="166"/>
      <c r="V233" s="166"/>
      <c r="W233" s="166"/>
      <c r="X233" s="166"/>
      <c r="Y233" s="166"/>
      <c r="Z233" s="166"/>
      <c r="AA233" s="166"/>
      <c r="AB233" s="166"/>
      <c r="AC233" s="166"/>
      <c r="AD233" s="187"/>
    </row>
    <row r="234" spans="1:30" s="188" customFormat="1" ht="16.5" customHeight="1" thickBot="1" x14ac:dyDescent="0.4">
      <c r="A234" s="98"/>
      <c r="B234" s="584" t="s">
        <v>32</v>
      </c>
      <c r="C234" s="585"/>
      <c r="D234" s="586"/>
      <c r="E234" s="328"/>
      <c r="F234" s="329"/>
      <c r="G234" s="330"/>
      <c r="H234" s="329"/>
      <c r="I234" s="331"/>
      <c r="J234" s="187"/>
      <c r="K234" s="337"/>
      <c r="L234" s="332"/>
      <c r="M234" s="332"/>
      <c r="N234" s="332"/>
      <c r="O234" s="166"/>
      <c r="P234" s="166"/>
      <c r="Q234" s="166"/>
      <c r="R234" s="166"/>
      <c r="S234" s="166"/>
      <c r="T234" s="166"/>
      <c r="U234" s="166"/>
      <c r="V234" s="166"/>
      <c r="W234" s="166"/>
      <c r="X234" s="166"/>
      <c r="Y234" s="166"/>
      <c r="Z234" s="166"/>
      <c r="AA234" s="166"/>
      <c r="AB234" s="166"/>
      <c r="AC234" s="166"/>
      <c r="AD234" s="187"/>
    </row>
    <row r="235" spans="1:30" s="188" customFormat="1" ht="12.5" customHeight="1" x14ac:dyDescent="0.25">
      <c r="A235" s="98"/>
      <c r="B235" s="573" t="s">
        <v>7</v>
      </c>
      <c r="C235" s="574"/>
      <c r="D235" s="587"/>
      <c r="E235" s="333">
        <f>IF('7990NTP-NP'!E70&gt;0,'7990NTP-NP'!E70-'7990NTP-NP'!C70-'7990NTP-NP'!D70,0)</f>
        <v>0</v>
      </c>
      <c r="F235" s="334">
        <f t="shared" ref="F235:F241" si="0">G235+H235+I235</f>
        <v>0</v>
      </c>
      <c r="G235" s="335">
        <f>C$18+C$23+C$25+C$28+C$31+C$36+C$39+C$42+C$45+C$48+C$51+C$54+C$57+C$62+C$65+C$68+C$73+C$76+C$79+C$82+C$87+C$90+C$93+C$96+C$101+C$104+C$107+C$112+C$115+C$118+C$121+C$128+C$135+C$138+C$141+C$144</f>
        <v>0</v>
      </c>
      <c r="H235" s="590">
        <f>C$19+C$26+C$29+C$32+C$37+C$40+C$43+C$46+C$49+C$52+C$55+C$58+C$74+C$77+C$80+C$83+C$88+C$91+C$94+C$113+C$116+C85</f>
        <v>0</v>
      </c>
      <c r="I235" s="336">
        <f>C$21+C$34+C$60+C$63+C$66+C$69+C$71+C$97+C$99+C$102+C$105+C$108+C$110+C$119+C$122+C124+C126+C$129+C$131+C$136+C$139+C$142+C$145+C$147+C133+C163</f>
        <v>0</v>
      </c>
      <c r="J235" s="187"/>
      <c r="K235" s="187"/>
      <c r="L235" s="169"/>
      <c r="M235" s="169"/>
      <c r="N235" s="169"/>
      <c r="O235" s="337"/>
      <c r="P235" s="166"/>
      <c r="Q235" s="166"/>
      <c r="R235" s="166"/>
      <c r="S235" s="166"/>
      <c r="T235" s="166"/>
      <c r="U235" s="166"/>
      <c r="V235" s="166"/>
      <c r="W235" s="166"/>
      <c r="X235" s="166"/>
      <c r="Y235" s="166"/>
      <c r="Z235" s="166"/>
      <c r="AA235" s="166"/>
      <c r="AB235" s="166"/>
      <c r="AC235" s="166"/>
      <c r="AD235" s="187"/>
    </row>
    <row r="236" spans="1:30" s="188" customFormat="1" ht="12.5" customHeight="1" x14ac:dyDescent="0.25">
      <c r="A236" s="98"/>
      <c r="B236" s="573" t="s">
        <v>8</v>
      </c>
      <c r="C236" s="574"/>
      <c r="D236" s="587"/>
      <c r="E236" s="338">
        <f>'7990NTP-NP'!E71-E244-E252</f>
        <v>0</v>
      </c>
      <c r="F236" s="339">
        <f t="shared" si="0"/>
        <v>0</v>
      </c>
      <c r="G236" s="335">
        <f>G$18+G$23+G$25+G$28+G$31+G$36+G$39+G$42+G$45+G$48+G$51+G$54+G$57+G$62+G$65+G$68+G$73+G$76+G$79+G$82+G$87+G$90+G$93+G$96+G$101+G$104+G$107+G$112+G$115+G$118+G$121+G$128+G$135+G$138+G$141+G$144</f>
        <v>0</v>
      </c>
      <c r="H236" s="591">
        <f>G$19+G$26+G$29+G$32+G$37+G$40+G$43+G$46+G$49+G$52+G$55+G$58+G$74+G$77+G$80+G$83+G$88+G$91+G$94+G$113+G$116+G85</f>
        <v>0</v>
      </c>
      <c r="I236" s="336">
        <f>G$21+G$34+G$60+G$63+G$66+G$69+G$71+G$97+G$99+G$102+G$105+G$108+G$110+G$119+G$122+G124+G126+G$129+G$131+G$136+G$139+G$142+G$145+G$147+G133+G163</f>
        <v>0</v>
      </c>
      <c r="J236" s="187"/>
      <c r="K236" s="337"/>
      <c r="L236" s="340"/>
      <c r="M236" s="340"/>
      <c r="N236" s="340"/>
      <c r="O236" s="341"/>
      <c r="P236" s="340"/>
      <c r="Q236" s="340"/>
      <c r="R236" s="340"/>
      <c r="S236" s="166"/>
      <c r="T236" s="166"/>
      <c r="U236" s="166"/>
      <c r="V236" s="166"/>
      <c r="W236" s="166"/>
      <c r="X236" s="166"/>
      <c r="Y236" s="166"/>
      <c r="Z236" s="166"/>
      <c r="AA236" s="166"/>
      <c r="AB236" s="166"/>
      <c r="AC236" s="166"/>
      <c r="AD236" s="187"/>
    </row>
    <row r="237" spans="1:30" s="188" customFormat="1" ht="12.5" customHeight="1" x14ac:dyDescent="0.25">
      <c r="A237" s="98"/>
      <c r="B237" s="573" t="s">
        <v>9</v>
      </c>
      <c r="C237" s="574"/>
      <c r="D237" s="587"/>
      <c r="E237" s="342">
        <f>'7990NTP-NP'!E72-E245-E253</f>
        <v>0</v>
      </c>
      <c r="F237" s="343">
        <f t="shared" si="0"/>
        <v>0</v>
      </c>
      <c r="G237" s="335">
        <f>K$18+K$23+K$25+K$28+K$31+K$36+K$39+K$42+K$45+K$48+K$51+K$54+K$57+K$62+K$65+K$68+K$73+K$76+K$79+K$82+K$87+K$90+K$93+K$96+K$101+K$104+K$107+K$112+K$115+K$118+K$121+K$128+K$135+K$138+K$141+K$144</f>
        <v>0</v>
      </c>
      <c r="H237" s="591">
        <f>K$19+K$26+K$29+K$32+K$37+K$40+K$43+K$46+K$49+K$52+K$55+K$58+K$74+K$77+K$80+K$83+K$88+K$91+K$94+K$113+K$116+K85</f>
        <v>0</v>
      </c>
      <c r="I237" s="336">
        <f>K$21+K$34+K$60+K$63+K$66+K$69+K$71+K$97+K$99+K$102+K$105+K$108+K$110+K$119+K$122+K124+K$129+K126+K$131+K$136+K$139+K$142+K$145+K$147+K133+K163</f>
        <v>0</v>
      </c>
      <c r="J237" s="187"/>
      <c r="K237" s="187"/>
      <c r="L237" s="344"/>
      <c r="M237" s="344"/>
      <c r="N237" s="344"/>
      <c r="O237" s="319"/>
      <c r="P237" s="340"/>
      <c r="Q237" s="340"/>
      <c r="R237" s="340"/>
      <c r="S237" s="166"/>
      <c r="T237" s="166"/>
      <c r="U237" s="166"/>
      <c r="V237" s="166"/>
      <c r="W237" s="166"/>
      <c r="X237" s="166"/>
      <c r="Y237" s="166"/>
      <c r="Z237" s="166"/>
      <c r="AA237" s="166"/>
      <c r="AB237" s="166"/>
      <c r="AC237" s="166"/>
      <c r="AD237" s="187"/>
    </row>
    <row r="238" spans="1:30" s="188" customFormat="1" ht="12.5" customHeight="1" x14ac:dyDescent="0.25">
      <c r="A238" s="98"/>
      <c r="B238" s="566" t="s">
        <v>285</v>
      </c>
      <c r="C238" s="567"/>
      <c r="D238" s="588"/>
      <c r="E238" s="342">
        <f>'7990NTP-NP'!E73-E246-E254</f>
        <v>0</v>
      </c>
      <c r="F238" s="343">
        <f t="shared" si="0"/>
        <v>0</v>
      </c>
      <c r="G238" s="335">
        <f>O$18+O$23+O$25+O$28+O$31+O$36+O$39+O$42+O$45+O$48+O$51+O$54+O$57+O$62+O$65+O$68+O$73+O$76+O$79+O$82+O$87+O$90+O$93+O$96+O$101+O$104+O$107+O$112+O$115+O$118+O$121+O$128+O$135+O$138+O$141+O$144</f>
        <v>0</v>
      </c>
      <c r="H238" s="591">
        <f>O$19+O21+O$26+O$29+O$32+O34+O$37+O$40+O$43+O$46+O$49+O$52+O$55+O$58+O60+O63+O66+O69+O71+O$74+O$77+O$80+O$83+O$88+O97+O99+O102+O105+O108+O110+O119+O122+O124+O129+O131+O133+O136+O139+O142+O145+O147+O163+O126+O$91+O$94+O$113+O$116+O85</f>
        <v>0</v>
      </c>
      <c r="I238" s="336">
        <f>0</f>
        <v>0</v>
      </c>
      <c r="J238" s="187"/>
      <c r="K238" s="187"/>
      <c r="L238" s="344"/>
      <c r="M238" s="344"/>
      <c r="N238" s="344"/>
      <c r="O238" s="319"/>
      <c r="P238" s="340"/>
      <c r="Q238" s="340"/>
      <c r="R238" s="340"/>
      <c r="S238" s="166"/>
      <c r="T238" s="166"/>
      <c r="U238" s="166"/>
      <c r="V238" s="166"/>
      <c r="W238" s="166"/>
      <c r="X238" s="166"/>
      <c r="Y238" s="166"/>
      <c r="Z238" s="166"/>
      <c r="AA238" s="166"/>
      <c r="AB238" s="166"/>
      <c r="AC238" s="166"/>
      <c r="AD238" s="187"/>
    </row>
    <row r="239" spans="1:30" s="188" customFormat="1" ht="12.5" customHeight="1" x14ac:dyDescent="0.25">
      <c r="A239" s="98"/>
      <c r="B239" s="566" t="s">
        <v>290</v>
      </c>
      <c r="C239" s="567"/>
      <c r="D239" s="588"/>
      <c r="E239" s="342">
        <f>'7990NTP-NP'!E74-E247-E255</f>
        <v>0</v>
      </c>
      <c r="F239" s="343">
        <f t="shared" si="0"/>
        <v>0</v>
      </c>
      <c r="G239" s="335">
        <f>S$18+S$23+S$25+S$28+S$31+S$36+S$39+S$42+S$45+S$48+S$51+S$54+S$57+S$62+S$65+S$68+S$73+S$76+S$79+S$82+S$87+S$90+S$93+S$96+S$101+S$104+S$107+S$112+S$115+S$118+S$121+S$128+S$135+S$138+S$141+S$144</f>
        <v>0</v>
      </c>
      <c r="H239" s="591">
        <f>S$19+S21+S$26+S$29+S$32+S34+S$37+S$40+S$43+S$46+S$49+S$52+S$55+S$58+S60+S63+S66+S69+S71+S$74+S$77+S$80+S$83+S$88+S97+S99+S102+S105+S108+S110+S119+S122+S124+S129+S131+S133+S136+S139+S142+S145+S147+S163+S126+S$91+S$94+S$113+S$116+S85</f>
        <v>0</v>
      </c>
      <c r="I239" s="336">
        <f>0</f>
        <v>0</v>
      </c>
      <c r="J239" s="187"/>
      <c r="K239" s="187"/>
      <c r="L239" s="344"/>
      <c r="M239" s="344"/>
      <c r="N239" s="344"/>
      <c r="O239" s="319"/>
      <c r="P239" s="340"/>
      <c r="Q239" s="340"/>
      <c r="R239" s="340"/>
      <c r="S239" s="166"/>
      <c r="T239" s="166"/>
      <c r="U239" s="166"/>
      <c r="V239" s="166"/>
      <c r="W239" s="166"/>
      <c r="X239" s="166"/>
      <c r="Y239" s="166"/>
      <c r="Z239" s="166"/>
      <c r="AA239" s="166"/>
      <c r="AB239" s="166"/>
      <c r="AC239" s="166"/>
      <c r="AD239" s="187"/>
    </row>
    <row r="240" spans="1:30" s="188" customFormat="1" ht="12.5" customHeight="1" x14ac:dyDescent="0.25">
      <c r="A240" s="98"/>
      <c r="B240" s="566" t="s">
        <v>286</v>
      </c>
      <c r="C240" s="567"/>
      <c r="D240" s="588"/>
      <c r="E240" s="342">
        <f>'7990NTP-NP'!E75-E248-E256</f>
        <v>0</v>
      </c>
      <c r="F240" s="343">
        <f t="shared" si="0"/>
        <v>0</v>
      </c>
      <c r="G240" s="335">
        <f>W$18+W$23+W$25+W$28+W$31+W$36+W$39+W$42+W$45+W$48+W$51+W$54+W$57+W$62+W$65+W$68+W$73+W$76+W$79+W$82+W$87+W$90+W$93+W$96+W$101+W$104+W$107+W$112+W$115+W$118+W$121+W$128+W$135+W$138+W$141+W$144</f>
        <v>0</v>
      </c>
      <c r="H240" s="591">
        <f>W$19+W21+W$26+W$29+W$32+W34+W$37+W$40+W$43+W$46+W$49+W$52+W$55+W$58+W60+W63+W66+W69+W71+W$74+W$77+W$80+W$83+W$88+W97+W99+W102+W105+W108+W110+W119+W122+W124+W129+W131+W133+W136+W139+W142+W145+W147+W163+W126+W$91+W$94+W$113+W$116+W85</f>
        <v>0</v>
      </c>
      <c r="I240" s="336">
        <f>0</f>
        <v>0</v>
      </c>
      <c r="J240" s="187"/>
      <c r="K240" s="187"/>
      <c r="L240" s="344"/>
      <c r="M240" s="344"/>
      <c r="N240" s="344"/>
      <c r="O240" s="319"/>
      <c r="P240" s="340"/>
      <c r="Q240" s="340"/>
      <c r="R240" s="340"/>
      <c r="S240" s="166"/>
      <c r="T240" s="166"/>
      <c r="U240" s="166"/>
      <c r="V240" s="166"/>
      <c r="W240" s="166"/>
      <c r="X240" s="166"/>
      <c r="Y240" s="166"/>
      <c r="Z240" s="166"/>
      <c r="AA240" s="166"/>
      <c r="AB240" s="166"/>
      <c r="AC240" s="166"/>
      <c r="AD240" s="187"/>
    </row>
    <row r="241" spans="1:30" s="188" customFormat="1" ht="12.5" customHeight="1" x14ac:dyDescent="0.25">
      <c r="A241" s="98"/>
      <c r="B241" s="566" t="s">
        <v>287</v>
      </c>
      <c r="C241" s="567"/>
      <c r="D241" s="588"/>
      <c r="E241" s="342">
        <f>'7990NTP-NP'!E76-E249-E257</f>
        <v>0</v>
      </c>
      <c r="F241" s="343">
        <f t="shared" si="0"/>
        <v>0</v>
      </c>
      <c r="G241" s="335">
        <f>AA$18+AA$23+AA$25+AA$28+AA$31+AA$36+AA$39+AA$42+AA$45+AA$48+AA$51+AA$54+AA$57+AA$62+AA$65+AA$68+AA$73+AA$76+AA$79+AA$82+AA$87+AA$90+AA$93+AA$96+AA$101+AA$104+AA$107+AA$112+AA$115+AA$118+AA$121+AA$128+AA$135+AA$138+AA$141+AA$144</f>
        <v>0</v>
      </c>
      <c r="H241" s="592">
        <f>AA$19+AA21+AA$26+AA$29+AA$32+AA34+AA$37+AA$40+AA$43+AA$46+AA$49+AA$52+AA$55+AA$58+AA60+AA63+AA66+AA69+AA71+AA$74+AA$77+AA$80+AA$83+AA$88+AA97+AA99+AA102+AA105+AA108+AA110+AA119+AA122+AA124+AA129+AA131+AA133+AA136+AA139+AA142+AA145+AA147+AA163+AA126+AA$91+AA$94+AA$113+AA$116+AA85</f>
        <v>0</v>
      </c>
      <c r="I241" s="336">
        <f>0</f>
        <v>0</v>
      </c>
      <c r="J241" s="187"/>
      <c r="K241" s="187"/>
      <c r="L241" s="340"/>
      <c r="M241" s="340"/>
      <c r="N241" s="340"/>
      <c r="O241" s="341"/>
      <c r="P241" s="340"/>
      <c r="Q241" s="340"/>
      <c r="R241" s="340"/>
      <c r="S241" s="166"/>
      <c r="T241" s="166"/>
      <c r="U241" s="166"/>
      <c r="V241" s="166"/>
      <c r="W241" s="166"/>
      <c r="X241" s="166"/>
      <c r="Y241" s="166"/>
      <c r="Z241" s="166"/>
      <c r="AA241" s="166"/>
      <c r="AB241" s="166"/>
      <c r="AC241" s="166"/>
      <c r="AD241" s="187"/>
    </row>
    <row r="242" spans="1:30" s="188" customFormat="1" ht="16.5" customHeight="1" thickBot="1" x14ac:dyDescent="0.4">
      <c r="A242" s="98"/>
      <c r="B242" s="575" t="s">
        <v>77</v>
      </c>
      <c r="C242" s="576"/>
      <c r="D242" s="589"/>
      <c r="E242" s="345"/>
      <c r="F242" s="346"/>
      <c r="G242" s="347"/>
      <c r="H242" s="346"/>
      <c r="I242" s="348"/>
      <c r="J242" s="187"/>
      <c r="K242" s="187"/>
      <c r="L242" s="349"/>
      <c r="M242" s="349"/>
      <c r="N242" s="349"/>
      <c r="O242" s="166"/>
      <c r="P242" s="166"/>
      <c r="Q242" s="166"/>
      <c r="R242" s="166"/>
      <c r="S242" s="166"/>
      <c r="T242" s="166"/>
      <c r="U242" s="166"/>
      <c r="V242" s="166"/>
      <c r="W242" s="166"/>
      <c r="X242" s="166"/>
      <c r="Y242" s="166"/>
      <c r="Z242" s="166"/>
      <c r="AA242" s="166"/>
      <c r="AB242" s="166"/>
      <c r="AC242" s="166"/>
      <c r="AD242" s="187"/>
    </row>
    <row r="243" spans="1:30" s="188" customFormat="1" ht="12.5" customHeight="1" x14ac:dyDescent="0.25">
      <c r="A243" s="98"/>
      <c r="B243" s="573" t="s">
        <v>7</v>
      </c>
      <c r="C243" s="574"/>
      <c r="D243" s="587"/>
      <c r="E243" s="333">
        <f>'7990NTP-NP'!C70</f>
        <v>0</v>
      </c>
      <c r="F243" s="350">
        <f>+C216</f>
        <v>0</v>
      </c>
      <c r="G243" s="351"/>
      <c r="H243" s="352">
        <f t="shared" ref="H243:H249" si="1">F243</f>
        <v>0</v>
      </c>
      <c r="I243" s="351"/>
      <c r="J243" s="187"/>
      <c r="K243" s="187"/>
      <c r="L243" s="349"/>
      <c r="M243" s="349"/>
      <c r="N243" s="349"/>
      <c r="O243" s="166"/>
      <c r="P243" s="166"/>
      <c r="Q243" s="166"/>
      <c r="R243" s="166"/>
      <c r="S243" s="166"/>
      <c r="T243" s="166"/>
      <c r="U243" s="166"/>
      <c r="V243" s="166"/>
      <c r="W243" s="166"/>
      <c r="X243" s="166"/>
      <c r="Y243" s="166"/>
      <c r="Z243" s="166"/>
      <c r="AA243" s="166"/>
      <c r="AB243" s="166"/>
      <c r="AC243" s="166"/>
      <c r="AD243" s="187"/>
    </row>
    <row r="244" spans="1:30" s="188" customFormat="1" ht="12.5" customHeight="1" x14ac:dyDescent="0.25">
      <c r="A244" s="98"/>
      <c r="B244" s="573" t="s">
        <v>8</v>
      </c>
      <c r="C244" s="574"/>
      <c r="D244" s="587"/>
      <c r="E244" s="338">
        <f>'7990NTP-NP'!C71</f>
        <v>0</v>
      </c>
      <c r="F244" s="252">
        <f>+G216</f>
        <v>0</v>
      </c>
      <c r="G244" s="351"/>
      <c r="H244" s="353">
        <f t="shared" si="1"/>
        <v>0</v>
      </c>
      <c r="I244" s="351"/>
      <c r="J244" s="187"/>
      <c r="K244" s="319"/>
      <c r="L244" s="183"/>
      <c r="M244" s="98"/>
      <c r="N244" s="98"/>
      <c r="O244" s="166"/>
      <c r="P244" s="166"/>
      <c r="Q244" s="166"/>
      <c r="R244" s="166"/>
      <c r="S244" s="166"/>
      <c r="T244" s="166"/>
      <c r="U244" s="166"/>
      <c r="V244" s="166"/>
      <c r="W244" s="166"/>
      <c r="X244" s="166"/>
      <c r="Y244" s="166"/>
      <c r="Z244" s="166"/>
      <c r="AA244" s="166"/>
      <c r="AB244" s="166"/>
      <c r="AC244" s="166"/>
      <c r="AD244" s="187"/>
    </row>
    <row r="245" spans="1:30" s="188" customFormat="1" ht="12.5" customHeight="1" x14ac:dyDescent="0.25">
      <c r="A245" s="98"/>
      <c r="B245" s="573" t="s">
        <v>9</v>
      </c>
      <c r="C245" s="574"/>
      <c r="D245" s="574"/>
      <c r="E245" s="342">
        <f>'7990NTP-NP'!C72</f>
        <v>0</v>
      </c>
      <c r="F245" s="252">
        <f>+K216</f>
        <v>0</v>
      </c>
      <c r="G245" s="351"/>
      <c r="H245" s="353">
        <f t="shared" si="1"/>
        <v>0</v>
      </c>
      <c r="I245" s="351"/>
      <c r="J245" s="187"/>
      <c r="K245" s="319"/>
      <c r="L245" s="183"/>
      <c r="M245" s="98"/>
      <c r="N245" s="98"/>
      <c r="O245" s="166"/>
      <c r="P245" s="166"/>
      <c r="Q245" s="166"/>
      <c r="R245" s="166"/>
      <c r="S245" s="166"/>
      <c r="T245" s="166"/>
      <c r="U245" s="166"/>
      <c r="V245" s="166"/>
      <c r="W245" s="166"/>
      <c r="X245" s="166"/>
      <c r="Y245" s="166"/>
      <c r="Z245" s="166"/>
      <c r="AA245" s="166"/>
      <c r="AB245" s="166"/>
      <c r="AC245" s="166"/>
      <c r="AD245" s="187"/>
    </row>
    <row r="246" spans="1:30" s="188" customFormat="1" ht="12.5" customHeight="1" x14ac:dyDescent="0.25">
      <c r="A246" s="98"/>
      <c r="B246" s="566" t="s">
        <v>285</v>
      </c>
      <c r="C246" s="567"/>
      <c r="D246" s="567"/>
      <c r="E246" s="342">
        <f>'7990NTP-NP'!C73</f>
        <v>0</v>
      </c>
      <c r="F246" s="354">
        <f>+O216</f>
        <v>0</v>
      </c>
      <c r="G246" s="355"/>
      <c r="H246" s="354">
        <f t="shared" si="1"/>
        <v>0</v>
      </c>
      <c r="I246" s="351"/>
      <c r="J246" s="187"/>
      <c r="K246" s="319"/>
      <c r="L246" s="183"/>
      <c r="M246" s="98"/>
      <c r="N246" s="98"/>
      <c r="O246" s="166"/>
      <c r="P246" s="166"/>
      <c r="Q246" s="166"/>
      <c r="R246" s="166"/>
      <c r="S246" s="166"/>
      <c r="T246" s="166"/>
      <c r="U246" s="166"/>
      <c r="V246" s="166"/>
      <c r="W246" s="166"/>
      <c r="X246" s="166"/>
      <c r="Y246" s="166"/>
      <c r="Z246" s="166"/>
      <c r="AA246" s="166"/>
      <c r="AB246" s="166"/>
      <c r="AC246" s="166"/>
      <c r="AD246" s="187"/>
    </row>
    <row r="247" spans="1:30" s="188" customFormat="1" ht="12.5" customHeight="1" x14ac:dyDescent="0.25">
      <c r="A247" s="98"/>
      <c r="B247" s="566" t="s">
        <v>290</v>
      </c>
      <c r="C247" s="567"/>
      <c r="D247" s="567"/>
      <c r="E247" s="342">
        <f>'7990NTP-NP'!C74</f>
        <v>0</v>
      </c>
      <c r="F247" s="354">
        <f>+S216</f>
        <v>0</v>
      </c>
      <c r="G247" s="355"/>
      <c r="H247" s="354">
        <f t="shared" si="1"/>
        <v>0</v>
      </c>
      <c r="I247" s="351"/>
      <c r="J247" s="187"/>
      <c r="K247" s="319"/>
      <c r="L247" s="183"/>
      <c r="M247" s="98"/>
      <c r="N247" s="98"/>
      <c r="O247" s="166"/>
      <c r="P247" s="166"/>
      <c r="Q247" s="166"/>
      <c r="R247" s="166"/>
      <c r="S247" s="166"/>
      <c r="T247" s="166"/>
      <c r="U247" s="166"/>
      <c r="V247" s="166"/>
      <c r="W247" s="166"/>
      <c r="X247" s="166"/>
      <c r="Y247" s="166"/>
      <c r="Z247" s="166"/>
      <c r="AA247" s="166"/>
      <c r="AB247" s="166"/>
      <c r="AC247" s="166"/>
      <c r="AD247" s="187"/>
    </row>
    <row r="248" spans="1:30" s="188" customFormat="1" ht="12.5" customHeight="1" x14ac:dyDescent="0.25">
      <c r="A248" s="98"/>
      <c r="B248" s="566" t="s">
        <v>286</v>
      </c>
      <c r="C248" s="567"/>
      <c r="D248" s="567"/>
      <c r="E248" s="342">
        <f>'7990NTP-NP'!C75</f>
        <v>0</v>
      </c>
      <c r="F248" s="354">
        <f>+W216</f>
        <v>0</v>
      </c>
      <c r="G248" s="355"/>
      <c r="H248" s="354">
        <f t="shared" si="1"/>
        <v>0</v>
      </c>
      <c r="I248" s="351"/>
      <c r="J248" s="187"/>
      <c r="K248" s="319"/>
      <c r="L248" s="183"/>
      <c r="M248" s="98"/>
      <c r="N248" s="98"/>
      <c r="O248" s="166"/>
      <c r="P248" s="166"/>
      <c r="Q248" s="166"/>
      <c r="R248" s="166"/>
      <c r="S248" s="166"/>
      <c r="T248" s="166"/>
      <c r="U248" s="166"/>
      <c r="V248" s="166"/>
      <c r="W248" s="166"/>
      <c r="X248" s="166"/>
      <c r="Y248" s="166"/>
      <c r="Z248" s="166"/>
      <c r="AA248" s="166"/>
      <c r="AB248" s="166"/>
      <c r="AC248" s="166"/>
      <c r="AD248" s="187"/>
    </row>
    <row r="249" spans="1:30" s="188" customFormat="1" ht="12.5" customHeight="1" thickBot="1" x14ac:dyDescent="0.3">
      <c r="A249" s="98"/>
      <c r="B249" s="566" t="s">
        <v>287</v>
      </c>
      <c r="C249" s="567"/>
      <c r="D249" s="567"/>
      <c r="E249" s="342">
        <f>'7990NTP-NP'!C76</f>
        <v>0</v>
      </c>
      <c r="F249" s="354">
        <f>+AA216</f>
        <v>0</v>
      </c>
      <c r="G249" s="355"/>
      <c r="H249" s="354">
        <f t="shared" si="1"/>
        <v>0</v>
      </c>
      <c r="I249" s="351"/>
      <c r="J249" s="187"/>
      <c r="K249" s="319"/>
      <c r="L249" s="183"/>
      <c r="M249" s="98"/>
      <c r="N249" s="98"/>
      <c r="O249" s="166"/>
      <c r="P249" s="166"/>
      <c r="Q249" s="166"/>
      <c r="R249" s="166"/>
      <c r="S249" s="166"/>
      <c r="T249" s="166"/>
      <c r="U249" s="166"/>
      <c r="V249" s="166"/>
      <c r="W249" s="166"/>
      <c r="X249" s="166"/>
      <c r="Y249" s="166"/>
      <c r="Z249" s="166"/>
      <c r="AA249" s="166"/>
      <c r="AB249" s="166"/>
      <c r="AC249" s="166"/>
      <c r="AD249" s="187"/>
    </row>
    <row r="250" spans="1:30" s="188" customFormat="1" ht="16.5" customHeight="1" thickBot="1" x14ac:dyDescent="0.4">
      <c r="A250" s="98"/>
      <c r="B250" s="575" t="s">
        <v>78</v>
      </c>
      <c r="C250" s="576"/>
      <c r="D250" s="576"/>
      <c r="E250" s="356"/>
      <c r="F250" s="346"/>
      <c r="G250" s="330"/>
      <c r="H250" s="346"/>
      <c r="I250" s="357"/>
      <c r="J250" s="187"/>
      <c r="K250" s="319"/>
      <c r="L250" s="349"/>
      <c r="M250" s="349"/>
      <c r="N250" s="349"/>
      <c r="O250" s="166"/>
      <c r="P250" s="166"/>
      <c r="Q250" s="166"/>
      <c r="R250" s="166"/>
      <c r="S250" s="166"/>
      <c r="T250" s="166"/>
      <c r="U250" s="166"/>
      <c r="V250" s="166"/>
      <c r="W250" s="166"/>
      <c r="X250" s="166"/>
      <c r="Y250" s="166"/>
      <c r="Z250" s="166"/>
      <c r="AA250" s="166"/>
      <c r="AB250" s="166"/>
      <c r="AC250" s="166"/>
      <c r="AD250" s="187"/>
    </row>
    <row r="251" spans="1:30" s="188" customFormat="1" ht="12.5" customHeight="1" x14ac:dyDescent="0.25">
      <c r="A251" s="98"/>
      <c r="B251" s="573" t="s">
        <v>7</v>
      </c>
      <c r="C251" s="574"/>
      <c r="D251" s="574"/>
      <c r="E251" s="333">
        <f>'7990NTP-NP'!D70</f>
        <v>0</v>
      </c>
      <c r="F251" s="358">
        <f t="shared" ref="F251:F257" si="2">G251+H251</f>
        <v>0</v>
      </c>
      <c r="G251" s="252">
        <f>C225+C223</f>
        <v>0</v>
      </c>
      <c r="H251" s="359">
        <f>C222+C226+C224</f>
        <v>0</v>
      </c>
      <c r="I251" s="351"/>
      <c r="J251" s="187"/>
      <c r="K251" s="319"/>
      <c r="L251" s="360"/>
      <c r="M251" s="360"/>
      <c r="N251" s="360"/>
      <c r="O251" s="166"/>
      <c r="P251" s="166"/>
      <c r="Q251" s="166"/>
      <c r="R251" s="166"/>
      <c r="S251" s="166"/>
      <c r="T251" s="166"/>
      <c r="U251" s="166"/>
      <c r="V251" s="166"/>
      <c r="W251" s="166"/>
      <c r="X251" s="166"/>
      <c r="Y251" s="166"/>
      <c r="Z251" s="166"/>
      <c r="AA251" s="166"/>
      <c r="AB251" s="166"/>
      <c r="AC251" s="166"/>
      <c r="AD251" s="187"/>
    </row>
    <row r="252" spans="1:30" s="188" customFormat="1" ht="12.5" customHeight="1" x14ac:dyDescent="0.25">
      <c r="A252" s="98"/>
      <c r="B252" s="573" t="s">
        <v>8</v>
      </c>
      <c r="C252" s="574"/>
      <c r="D252" s="574"/>
      <c r="E252" s="342">
        <f>'7990NTP-NP'!D71</f>
        <v>0</v>
      </c>
      <c r="F252" s="252">
        <f t="shared" si="2"/>
        <v>0</v>
      </c>
      <c r="G252" s="252">
        <f>G225+G223</f>
        <v>0</v>
      </c>
      <c r="H252" s="339">
        <f>G222+G226+G224</f>
        <v>0</v>
      </c>
      <c r="I252" s="351"/>
      <c r="J252" s="187"/>
      <c r="K252" s="319"/>
      <c r="L252" s="360"/>
      <c r="M252" s="360"/>
      <c r="N252" s="360"/>
      <c r="O252" s="166"/>
      <c r="P252" s="166"/>
      <c r="Q252" s="166"/>
      <c r="R252" s="166"/>
      <c r="S252" s="166"/>
      <c r="T252" s="166"/>
      <c r="U252" s="166"/>
      <c r="V252" s="166"/>
      <c r="W252" s="166"/>
      <c r="X252" s="166"/>
      <c r="Y252" s="166"/>
      <c r="Z252" s="166"/>
      <c r="AA252" s="166"/>
      <c r="AB252" s="166"/>
      <c r="AC252" s="166"/>
      <c r="AD252" s="187"/>
    </row>
    <row r="253" spans="1:30" s="188" customFormat="1" ht="12.5" customHeight="1" x14ac:dyDescent="0.25">
      <c r="A253" s="98"/>
      <c r="B253" s="573" t="s">
        <v>9</v>
      </c>
      <c r="C253" s="574"/>
      <c r="D253" s="574"/>
      <c r="E253" s="342">
        <f>'7990NTP-NP'!D72</f>
        <v>0</v>
      </c>
      <c r="F253" s="252">
        <f t="shared" si="2"/>
        <v>0</v>
      </c>
      <c r="G253" s="252">
        <f>K225+K223</f>
        <v>0</v>
      </c>
      <c r="H253" s="339">
        <f>K222+K226+K224</f>
        <v>0</v>
      </c>
      <c r="I253" s="351"/>
      <c r="J253" s="187"/>
      <c r="K253" s="319"/>
      <c r="L253" s="360"/>
      <c r="M253" s="360"/>
      <c r="N253" s="360"/>
      <c r="O253" s="166"/>
      <c r="P253" s="166"/>
      <c r="Q253" s="166"/>
      <c r="R253" s="166"/>
      <c r="S253" s="166"/>
      <c r="T253" s="166"/>
      <c r="U253" s="166"/>
      <c r="V253" s="166"/>
      <c r="W253" s="166"/>
      <c r="X253" s="166"/>
      <c r="Y253" s="166"/>
      <c r="Z253" s="166"/>
      <c r="AA253" s="166"/>
      <c r="AB253" s="166"/>
      <c r="AC253" s="166"/>
      <c r="AD253" s="187"/>
    </row>
    <row r="254" spans="1:30" s="188" customFormat="1" ht="12.5" customHeight="1" x14ac:dyDescent="0.25">
      <c r="A254" s="98"/>
      <c r="B254" s="566" t="s">
        <v>285</v>
      </c>
      <c r="C254" s="567"/>
      <c r="D254" s="567"/>
      <c r="E254" s="342">
        <f>'7990NTP-NP'!D73</f>
        <v>0</v>
      </c>
      <c r="F254" s="252">
        <f t="shared" si="2"/>
        <v>0</v>
      </c>
      <c r="G254" s="252">
        <f>O225+O223</f>
        <v>0</v>
      </c>
      <c r="H254" s="354">
        <f>O222+O226+O224</f>
        <v>0</v>
      </c>
      <c r="I254" s="351"/>
      <c r="J254" s="187"/>
      <c r="K254" s="319"/>
      <c r="L254" s="360"/>
      <c r="M254" s="360"/>
      <c r="N254" s="360"/>
      <c r="O254" s="166"/>
      <c r="P254" s="166"/>
      <c r="Q254" s="166"/>
      <c r="R254" s="166"/>
      <c r="S254" s="166"/>
      <c r="T254" s="166"/>
      <c r="U254" s="166"/>
      <c r="V254" s="166"/>
      <c r="W254" s="166"/>
      <c r="X254" s="166"/>
      <c r="Y254" s="166"/>
      <c r="Z254" s="166"/>
      <c r="AA254" s="166"/>
      <c r="AB254" s="166"/>
      <c r="AC254" s="166"/>
      <c r="AD254" s="187"/>
    </row>
    <row r="255" spans="1:30" s="188" customFormat="1" ht="12.5" customHeight="1" x14ac:dyDescent="0.25">
      <c r="A255" s="98"/>
      <c r="B255" s="566" t="s">
        <v>290</v>
      </c>
      <c r="C255" s="567"/>
      <c r="D255" s="567"/>
      <c r="E255" s="342">
        <f>'7990NTP-NP'!D74</f>
        <v>0</v>
      </c>
      <c r="F255" s="252">
        <f t="shared" si="2"/>
        <v>0</v>
      </c>
      <c r="G255" s="252">
        <f>S225+S223</f>
        <v>0</v>
      </c>
      <c r="H255" s="354">
        <f>S222+S226+S224</f>
        <v>0</v>
      </c>
      <c r="I255" s="351"/>
      <c r="J255" s="187"/>
      <c r="K255" s="319"/>
      <c r="L255" s="360"/>
      <c r="M255" s="360"/>
      <c r="N255" s="360"/>
      <c r="O255" s="166"/>
      <c r="P255" s="166"/>
      <c r="Q255" s="166"/>
      <c r="R255" s="166"/>
      <c r="S255" s="166"/>
      <c r="T255" s="166"/>
      <c r="U255" s="166"/>
      <c r="V255" s="166"/>
      <c r="W255" s="166"/>
      <c r="X255" s="166"/>
      <c r="Y255" s="166"/>
      <c r="Z255" s="166"/>
      <c r="AA255" s="166"/>
      <c r="AB255" s="166"/>
      <c r="AC255" s="166"/>
      <c r="AD255" s="187"/>
    </row>
    <row r="256" spans="1:30" s="188" customFormat="1" ht="12.5" customHeight="1" x14ac:dyDescent="0.25">
      <c r="A256" s="98"/>
      <c r="B256" s="566" t="s">
        <v>286</v>
      </c>
      <c r="C256" s="567"/>
      <c r="D256" s="567"/>
      <c r="E256" s="342">
        <f>'7990NTP-NP'!D75</f>
        <v>0</v>
      </c>
      <c r="F256" s="252">
        <f t="shared" si="2"/>
        <v>0</v>
      </c>
      <c r="G256" s="252">
        <f>W225+W223</f>
        <v>0</v>
      </c>
      <c r="H256" s="354">
        <f>W222+W226+W224</f>
        <v>0</v>
      </c>
      <c r="I256" s="351"/>
      <c r="J256" s="187"/>
      <c r="K256" s="319"/>
      <c r="L256" s="360"/>
      <c r="M256" s="360"/>
      <c r="N256" s="360"/>
      <c r="O256" s="166"/>
      <c r="P256" s="166"/>
      <c r="Q256" s="166"/>
      <c r="R256" s="166"/>
      <c r="S256" s="166"/>
      <c r="T256" s="166"/>
      <c r="U256" s="166"/>
      <c r="V256" s="166"/>
      <c r="W256" s="166"/>
      <c r="X256" s="166"/>
      <c r="Y256" s="166"/>
      <c r="Z256" s="166"/>
      <c r="AA256" s="166"/>
      <c r="AB256" s="166"/>
      <c r="AC256" s="166"/>
      <c r="AD256" s="187"/>
    </row>
    <row r="257" spans="1:30" s="188" customFormat="1" ht="12.5" customHeight="1" thickBot="1" x14ac:dyDescent="0.3">
      <c r="A257" s="98"/>
      <c r="B257" s="568" t="s">
        <v>287</v>
      </c>
      <c r="C257" s="569"/>
      <c r="D257" s="569"/>
      <c r="E257" s="342">
        <f>'7990NTP-NP'!D76</f>
        <v>0</v>
      </c>
      <c r="F257" s="361">
        <f t="shared" si="2"/>
        <v>0</v>
      </c>
      <c r="G257" s="361">
        <f>AA225+AA223</f>
        <v>0</v>
      </c>
      <c r="H257" s="354">
        <f>AA222+AA226+AA224</f>
        <v>0</v>
      </c>
      <c r="I257" s="351"/>
      <c r="J257" s="187"/>
      <c r="K257" s="319"/>
      <c r="L257" s="360"/>
      <c r="M257" s="360"/>
      <c r="N257" s="360"/>
      <c r="O257" s="166"/>
      <c r="P257" s="166"/>
      <c r="Q257" s="166"/>
      <c r="R257" s="166"/>
      <c r="S257" s="166"/>
      <c r="T257" s="166"/>
      <c r="U257" s="166"/>
      <c r="V257" s="166"/>
      <c r="W257" s="166"/>
      <c r="X257" s="166"/>
      <c r="Y257" s="166"/>
      <c r="Z257" s="166"/>
      <c r="AA257" s="166"/>
      <c r="AB257" s="166"/>
      <c r="AC257" s="166"/>
      <c r="AD257" s="187"/>
    </row>
    <row r="258" spans="1:30" s="188" customFormat="1" ht="12.5" customHeight="1" thickBot="1" x14ac:dyDescent="0.3">
      <c r="A258" s="98"/>
      <c r="B258" s="570" t="s">
        <v>94</v>
      </c>
      <c r="C258" s="571"/>
      <c r="D258" s="572"/>
      <c r="E258" s="362"/>
      <c r="F258" s="363">
        <f>C210</f>
        <v>0</v>
      </c>
      <c r="G258" s="364"/>
      <c r="H258" s="364"/>
      <c r="I258" s="365"/>
      <c r="J258" s="187"/>
      <c r="K258" s="319"/>
      <c r="L258" s="183"/>
      <c r="M258" s="183"/>
      <c r="N258" s="183"/>
      <c r="O258" s="166"/>
      <c r="P258" s="166"/>
      <c r="Q258" s="166"/>
      <c r="R258" s="166"/>
      <c r="S258" s="166"/>
      <c r="T258" s="166"/>
      <c r="U258" s="166"/>
      <c r="V258" s="166"/>
      <c r="W258" s="166"/>
      <c r="X258" s="166"/>
      <c r="Y258" s="166"/>
      <c r="Z258" s="166"/>
      <c r="AA258" s="166"/>
      <c r="AB258" s="166"/>
      <c r="AC258" s="166"/>
      <c r="AD258" s="187"/>
    </row>
    <row r="259" spans="1:30" s="188" customFormat="1" ht="16.5" customHeight="1" thickBot="1" x14ac:dyDescent="0.4">
      <c r="A259" s="98"/>
      <c r="B259" s="551" t="s">
        <v>13</v>
      </c>
      <c r="C259" s="552"/>
      <c r="D259" s="553"/>
      <c r="E259" s="366"/>
      <c r="F259" s="367">
        <f>SUM(F235:F241,F243:F249,F251:F257)</f>
        <v>0</v>
      </c>
      <c r="G259" s="368">
        <f>SUM(G235:G241,G251:G257)</f>
        <v>0</v>
      </c>
      <c r="H259" s="369">
        <f>SUM(H235:H241,H243:H249,H251:H257)</f>
        <v>0</v>
      </c>
      <c r="I259" s="370">
        <f>SUM(I235:I241)</f>
        <v>0</v>
      </c>
      <c r="J259" s="187"/>
      <c r="K259" s="319"/>
      <c r="L259" s="183"/>
      <c r="M259" s="98"/>
      <c r="N259" s="98"/>
      <c r="O259" s="166"/>
      <c r="P259" s="166"/>
      <c r="Q259" s="166"/>
      <c r="R259" s="166"/>
      <c r="S259" s="166"/>
      <c r="T259" s="166"/>
      <c r="U259" s="166"/>
      <c r="V259" s="166"/>
      <c r="W259" s="166"/>
      <c r="X259" s="166"/>
      <c r="Y259" s="166"/>
      <c r="Z259" s="166"/>
      <c r="AA259" s="166"/>
      <c r="AB259" s="166"/>
      <c r="AC259" s="166"/>
      <c r="AD259" s="187"/>
    </row>
    <row r="260" spans="1:30" s="188" customFormat="1" ht="16.5" customHeight="1" thickBot="1" x14ac:dyDescent="0.35">
      <c r="A260" s="98"/>
      <c r="B260" s="563" t="s">
        <v>72</v>
      </c>
      <c r="C260" s="564"/>
      <c r="D260" s="565"/>
      <c r="E260" s="366"/>
      <c r="F260" s="371"/>
      <c r="G260" s="372">
        <f>F260*0.5</f>
        <v>0</v>
      </c>
      <c r="H260" s="373">
        <f>F260*0.5</f>
        <v>0</v>
      </c>
      <c r="I260" s="374"/>
      <c r="J260" s="187"/>
      <c r="K260" s="319"/>
      <c r="L260" s="183"/>
      <c r="M260" s="98"/>
      <c r="N260" s="98"/>
      <c r="O260" s="166"/>
      <c r="P260" s="166"/>
      <c r="Q260" s="166"/>
      <c r="R260" s="166"/>
      <c r="S260" s="166"/>
      <c r="T260" s="166"/>
      <c r="U260" s="166"/>
      <c r="V260" s="166"/>
      <c r="W260" s="166"/>
      <c r="X260" s="166"/>
      <c r="Y260" s="166"/>
      <c r="Z260" s="166"/>
      <c r="AA260" s="166"/>
      <c r="AB260" s="166"/>
      <c r="AC260" s="166"/>
      <c r="AD260" s="187"/>
    </row>
    <row r="261" spans="1:30" s="188" customFormat="1" ht="16.5" customHeight="1" thickBot="1" x14ac:dyDescent="0.35">
      <c r="A261" s="98"/>
      <c r="B261" s="563" t="s">
        <v>73</v>
      </c>
      <c r="C261" s="564"/>
      <c r="D261" s="565"/>
      <c r="E261" s="366"/>
      <c r="F261" s="375"/>
      <c r="G261" s="374"/>
      <c r="H261" s="376">
        <f>F261</f>
        <v>0</v>
      </c>
      <c r="I261" s="377"/>
      <c r="J261" s="187"/>
      <c r="K261" s="187"/>
      <c r="L261" s="98"/>
      <c r="M261" s="98"/>
      <c r="N261" s="98"/>
      <c r="O261" s="166"/>
      <c r="P261" s="166"/>
      <c r="Q261" s="166"/>
      <c r="R261" s="166"/>
      <c r="S261" s="166"/>
      <c r="T261" s="166"/>
      <c r="U261" s="166"/>
      <c r="V261" s="166"/>
      <c r="W261" s="166"/>
      <c r="X261" s="166"/>
      <c r="Y261" s="166"/>
      <c r="Z261" s="166"/>
      <c r="AA261" s="166"/>
      <c r="AB261" s="166"/>
      <c r="AC261" s="166"/>
      <c r="AD261" s="187"/>
    </row>
    <row r="262" spans="1:30" s="188" customFormat="1" ht="16.5" customHeight="1" thickBot="1" x14ac:dyDescent="0.35">
      <c r="A262" s="98"/>
      <c r="B262" s="563" t="s">
        <v>74</v>
      </c>
      <c r="C262" s="564"/>
      <c r="D262" s="565"/>
      <c r="E262" s="366"/>
      <c r="F262" s="375"/>
      <c r="G262" s="365"/>
      <c r="H262" s="376">
        <f>F262</f>
        <v>0</v>
      </c>
      <c r="I262" s="377"/>
      <c r="J262" s="187"/>
      <c r="K262" s="187"/>
      <c r="L262" s="98"/>
      <c r="M262" s="98"/>
      <c r="N262" s="98"/>
      <c r="O262" s="166"/>
      <c r="P262" s="166"/>
      <c r="Q262" s="166"/>
      <c r="R262" s="166"/>
      <c r="S262" s="166"/>
      <c r="T262" s="166"/>
      <c r="U262" s="166"/>
      <c r="V262" s="166"/>
      <c r="W262" s="166"/>
      <c r="X262" s="166"/>
      <c r="Y262" s="166"/>
      <c r="Z262" s="166"/>
      <c r="AA262" s="166"/>
      <c r="AB262" s="166"/>
      <c r="AC262" s="166"/>
      <c r="AD262" s="187"/>
    </row>
    <row r="263" spans="1:30" s="188" customFormat="1" ht="16.5" customHeight="1" thickBot="1" x14ac:dyDescent="0.35">
      <c r="A263" s="98"/>
      <c r="B263" s="563" t="s">
        <v>71</v>
      </c>
      <c r="C263" s="564"/>
      <c r="D263" s="565"/>
      <c r="E263" s="366"/>
      <c r="F263" s="375"/>
      <c r="G263" s="378">
        <f>F263*0.5</f>
        <v>0</v>
      </c>
      <c r="H263" s="376">
        <f>F263*0.5</f>
        <v>0</v>
      </c>
      <c r="I263" s="377"/>
      <c r="J263" s="187"/>
      <c r="K263" s="187"/>
      <c r="L263" s="98"/>
      <c r="M263" s="98"/>
      <c r="N263" s="98"/>
      <c r="O263" s="166"/>
      <c r="P263" s="166"/>
      <c r="Q263" s="166"/>
      <c r="R263" s="166"/>
      <c r="S263" s="166"/>
      <c r="T263" s="166"/>
      <c r="U263" s="166"/>
      <c r="V263" s="166"/>
      <c r="W263" s="166"/>
      <c r="X263" s="166"/>
      <c r="Y263" s="166"/>
      <c r="Z263" s="166"/>
      <c r="AA263" s="166"/>
      <c r="AB263" s="166"/>
      <c r="AC263" s="166"/>
      <c r="AD263" s="187"/>
    </row>
    <row r="264" spans="1:30" s="188" customFormat="1" ht="16.5" customHeight="1" thickBot="1" x14ac:dyDescent="0.35">
      <c r="A264" s="98"/>
      <c r="B264" s="563" t="s">
        <v>75</v>
      </c>
      <c r="C264" s="564"/>
      <c r="D264" s="565"/>
      <c r="E264" s="366"/>
      <c r="F264" s="375"/>
      <c r="G264" s="374"/>
      <c r="H264" s="376">
        <f>F264</f>
        <v>0</v>
      </c>
      <c r="I264" s="377"/>
      <c r="J264" s="187"/>
      <c r="K264" s="187"/>
      <c r="L264" s="98"/>
      <c r="M264" s="98"/>
      <c r="N264" s="98"/>
      <c r="O264" s="166"/>
      <c r="P264" s="166"/>
      <c r="Q264" s="166"/>
      <c r="R264" s="166"/>
      <c r="S264" s="166"/>
      <c r="T264" s="166"/>
      <c r="U264" s="166"/>
      <c r="V264" s="166"/>
      <c r="W264" s="166"/>
      <c r="X264" s="166"/>
      <c r="Y264" s="166"/>
      <c r="Z264" s="166"/>
      <c r="AA264" s="166"/>
      <c r="AB264" s="166"/>
      <c r="AC264" s="166"/>
      <c r="AD264" s="187"/>
    </row>
    <row r="265" spans="1:30" s="188" customFormat="1" ht="16.5" customHeight="1" thickBot="1" x14ac:dyDescent="0.35">
      <c r="A265" s="98"/>
      <c r="B265" s="563" t="s">
        <v>76</v>
      </c>
      <c r="C265" s="564"/>
      <c r="D265" s="565"/>
      <c r="E265" s="366"/>
      <c r="F265" s="379"/>
      <c r="G265" s="365"/>
      <c r="H265" s="354">
        <f>F265</f>
        <v>0</v>
      </c>
      <c r="I265" s="365"/>
      <c r="J265" s="187"/>
      <c r="K265" s="187"/>
      <c r="L265" s="98"/>
      <c r="M265" s="98"/>
      <c r="N265" s="98"/>
      <c r="O265" s="166"/>
      <c r="P265" s="166"/>
      <c r="Q265" s="166"/>
      <c r="R265" s="166"/>
      <c r="S265" s="166"/>
      <c r="T265" s="166"/>
      <c r="U265" s="166"/>
      <c r="V265" s="166"/>
      <c r="W265" s="166"/>
      <c r="X265" s="166"/>
      <c r="Y265" s="166"/>
      <c r="Z265" s="166"/>
      <c r="AA265" s="166"/>
      <c r="AB265" s="166"/>
      <c r="AC265" s="166"/>
      <c r="AD265" s="187"/>
    </row>
    <row r="266" spans="1:30" s="188" customFormat="1" ht="19" customHeight="1" thickBot="1" x14ac:dyDescent="0.45">
      <c r="A266" s="98"/>
      <c r="B266" s="551" t="s">
        <v>23</v>
      </c>
      <c r="C266" s="552"/>
      <c r="D266" s="553"/>
      <c r="E266" s="380"/>
      <c r="F266" s="381">
        <f>IF(F259&gt;SUM(F260+F263),F259-F260-F261-F262-F263-F264-F265,0)</f>
        <v>0</v>
      </c>
      <c r="G266" s="382">
        <f>G259-G260-G263</f>
        <v>0</v>
      </c>
      <c r="H266" s="383">
        <f>H259-H260-H261-H262-H263-H264-H265</f>
        <v>0</v>
      </c>
      <c r="I266" s="384">
        <f>I259</f>
        <v>0</v>
      </c>
      <c r="J266" s="187"/>
      <c r="K266" s="187"/>
      <c r="L266" s="385"/>
      <c r="M266" s="385"/>
      <c r="N266" s="385"/>
      <c r="O266" s="166"/>
      <c r="P266" s="166"/>
      <c r="Q266" s="166"/>
      <c r="R266" s="166"/>
      <c r="S266" s="166"/>
      <c r="T266" s="166"/>
      <c r="U266" s="166"/>
      <c r="V266" s="166"/>
      <c r="W266" s="166"/>
      <c r="X266" s="166"/>
      <c r="Y266" s="166"/>
      <c r="Z266" s="166"/>
      <c r="AA266" s="166"/>
      <c r="AB266" s="166"/>
      <c r="AC266" s="166"/>
      <c r="AD266" s="187"/>
    </row>
    <row r="267" spans="1:30" x14ac:dyDescent="0.25">
      <c r="G267" s="387"/>
      <c r="L267" s="385"/>
      <c r="M267" s="385"/>
      <c r="N267" s="385"/>
    </row>
    <row r="268" spans="1:30" ht="13" thickBot="1" x14ac:dyDescent="0.3"/>
    <row r="269" spans="1:30" ht="13" customHeight="1" x14ac:dyDescent="0.25">
      <c r="A269" s="388"/>
      <c r="B269" s="557"/>
      <c r="C269" s="558"/>
      <c r="D269" s="389" t="s">
        <v>15</v>
      </c>
    </row>
    <row r="270" spans="1:30" ht="13" customHeight="1" x14ac:dyDescent="0.3">
      <c r="A270" s="388"/>
      <c r="B270" s="559" t="s">
        <v>16</v>
      </c>
      <c r="C270" s="560"/>
      <c r="D270" s="390" t="str">
        <f>IF(SUM('7990NTP-NP'!E77-'7990NTP-NP'!D77-'7990NTP-NP'!C77)=SUM(E235:E241),"OKAY","Error")</f>
        <v>OKAY</v>
      </c>
    </row>
    <row r="271" spans="1:30" ht="13" customHeight="1" x14ac:dyDescent="0.3">
      <c r="A271" s="388"/>
      <c r="B271" s="559" t="s">
        <v>17</v>
      </c>
      <c r="C271" s="560"/>
      <c r="D271" s="390" t="str">
        <f>IF('7990NTP-NP'!C77=SUM('FL Info'!E243:E249),"OKAY","Error")</f>
        <v>OKAY</v>
      </c>
    </row>
    <row r="272" spans="1:30" ht="13" customHeight="1" x14ac:dyDescent="0.3">
      <c r="A272" s="388"/>
      <c r="B272" s="559" t="s">
        <v>45</v>
      </c>
      <c r="C272" s="560"/>
      <c r="D272" s="390" t="str">
        <f>IF('7990NTP-NP'!D77=SUM('FL Info'!E251:E257),"OKAY","Error")</f>
        <v>OKAY</v>
      </c>
    </row>
    <row r="273" spans="1:10" ht="13" customHeight="1" x14ac:dyDescent="0.3">
      <c r="A273" s="388"/>
      <c r="B273" s="559" t="s">
        <v>18</v>
      </c>
      <c r="C273" s="560"/>
      <c r="D273" s="391" t="str">
        <f>IF(F259='7990NTP-NP'!H87,"OKAY","Error")</f>
        <v>OKAY</v>
      </c>
      <c r="F273" s="593"/>
    </row>
    <row r="274" spans="1:10" ht="13" customHeight="1" thickBot="1" x14ac:dyDescent="0.35">
      <c r="A274" s="388"/>
      <c r="B274" s="561" t="s">
        <v>19</v>
      </c>
      <c r="C274" s="562"/>
      <c r="D274" s="392" t="str">
        <f>IF(F266=F259-SUM(F260:F265),"OKAY","Error")</f>
        <v>OKAY</v>
      </c>
    </row>
    <row r="275" spans="1:10" x14ac:dyDescent="0.25">
      <c r="C275" s="393"/>
    </row>
    <row r="277" spans="1:10" ht="13" thickBot="1" x14ac:dyDescent="0.3"/>
    <row r="278" spans="1:10" ht="30" customHeight="1" thickBot="1" x14ac:dyDescent="0.35">
      <c r="B278" s="554" t="s">
        <v>293</v>
      </c>
      <c r="C278" s="555"/>
      <c r="D278" s="556"/>
      <c r="E278" s="394" t="s">
        <v>294</v>
      </c>
      <c r="F278" s="395" t="s">
        <v>295</v>
      </c>
      <c r="H278" s="396"/>
      <c r="I278" s="397"/>
      <c r="J278" s="397"/>
    </row>
    <row r="279" spans="1:10" ht="15.5" hidden="1" thickBot="1" x14ac:dyDescent="0.3">
      <c r="B279" s="398" t="s">
        <v>296</v>
      </c>
      <c r="C279" s="387"/>
      <c r="D279" s="399"/>
      <c r="E279" s="400"/>
      <c r="F279" s="388"/>
      <c r="G279" s="401"/>
      <c r="H279" s="402"/>
      <c r="I279" s="402"/>
      <c r="J279" s="402"/>
    </row>
    <row r="280" spans="1:10" ht="15.5" hidden="1" x14ac:dyDescent="0.35">
      <c r="B280" s="403" t="s">
        <v>297</v>
      </c>
      <c r="C280" s="387"/>
      <c r="D280" s="399"/>
      <c r="E280" s="404"/>
      <c r="F280" s="388"/>
      <c r="G280" s="405"/>
      <c r="H280" s="406"/>
      <c r="I280" s="406"/>
      <c r="J280" s="406"/>
    </row>
    <row r="281" spans="1:10" ht="15.5" hidden="1" x14ac:dyDescent="0.35">
      <c r="B281" s="407" t="s">
        <v>298</v>
      </c>
      <c r="C281" s="387"/>
      <c r="D281" s="399"/>
      <c r="E281" s="408"/>
      <c r="F281" s="388"/>
      <c r="G281" s="409"/>
      <c r="H281" s="406"/>
      <c r="I281" s="406"/>
      <c r="J281" s="406"/>
    </row>
    <row r="282" spans="1:10" ht="15.5" hidden="1" x14ac:dyDescent="0.35">
      <c r="B282" s="407" t="s">
        <v>299</v>
      </c>
      <c r="C282" s="387"/>
      <c r="D282" s="399"/>
      <c r="E282" s="408"/>
      <c r="F282" s="388"/>
      <c r="G282" s="409"/>
      <c r="H282" s="406"/>
      <c r="I282" s="406"/>
      <c r="J282" s="406"/>
    </row>
    <row r="283" spans="1:10" ht="15.5" hidden="1" x14ac:dyDescent="0.35">
      <c r="B283" s="410" t="s">
        <v>300</v>
      </c>
      <c r="C283" s="387"/>
      <c r="D283" s="399"/>
      <c r="E283" s="411"/>
      <c r="F283" s="388"/>
      <c r="G283" s="409"/>
      <c r="H283" s="406"/>
      <c r="I283" s="406"/>
      <c r="J283" s="406"/>
    </row>
    <row r="284" spans="1:10" ht="15.5" hidden="1" x14ac:dyDescent="0.35">
      <c r="B284" s="410" t="s">
        <v>301</v>
      </c>
      <c r="C284" s="387"/>
      <c r="D284" s="399"/>
      <c r="E284" s="412"/>
      <c r="F284" s="388"/>
      <c r="G284" s="409"/>
      <c r="H284" s="406"/>
      <c r="I284" s="406"/>
      <c r="J284" s="406"/>
    </row>
    <row r="285" spans="1:10" ht="15.5" hidden="1" x14ac:dyDescent="0.35">
      <c r="B285" s="410" t="s">
        <v>290</v>
      </c>
      <c r="C285" s="387"/>
      <c r="D285" s="399"/>
      <c r="E285" s="412"/>
      <c r="F285" s="388"/>
      <c r="G285" s="409"/>
      <c r="H285" s="406"/>
      <c r="I285" s="406"/>
      <c r="J285" s="406"/>
    </row>
    <row r="286" spans="1:10" ht="15.5" hidden="1" x14ac:dyDescent="0.35">
      <c r="B286" s="410" t="s">
        <v>286</v>
      </c>
      <c r="C286" s="387"/>
      <c r="D286" s="399"/>
      <c r="E286" s="412"/>
      <c r="F286" s="388"/>
      <c r="G286" s="409"/>
      <c r="H286" s="406"/>
      <c r="I286" s="406"/>
      <c r="J286" s="406"/>
    </row>
    <row r="287" spans="1:10" ht="15.5" hidden="1" x14ac:dyDescent="0.35">
      <c r="B287" s="410" t="s">
        <v>284</v>
      </c>
      <c r="C287" s="387"/>
      <c r="D287" s="399"/>
      <c r="E287" s="412"/>
      <c r="F287" s="388"/>
      <c r="G287" s="409"/>
      <c r="H287" s="406"/>
      <c r="I287" s="406"/>
      <c r="J287" s="406"/>
    </row>
    <row r="288" spans="1:10" ht="15.5" thickBot="1" x14ac:dyDescent="0.3">
      <c r="B288" s="542" t="s">
        <v>302</v>
      </c>
      <c r="C288" s="543"/>
      <c r="D288" s="543"/>
      <c r="E288" s="543"/>
      <c r="F288" s="544"/>
      <c r="G288" s="413"/>
      <c r="H288" s="413"/>
      <c r="I288" s="414"/>
      <c r="J288" s="414"/>
    </row>
    <row r="289" spans="2:10" ht="31" customHeight="1" x14ac:dyDescent="0.35">
      <c r="B289" s="545" t="s">
        <v>303</v>
      </c>
      <c r="C289" s="546"/>
      <c r="D289" s="547"/>
      <c r="E289" s="415">
        <f>+G266</f>
        <v>0</v>
      </c>
      <c r="F289" s="416"/>
      <c r="H289" s="417"/>
      <c r="I289" s="417"/>
      <c r="J289" s="417"/>
    </row>
    <row r="290" spans="2:10" ht="30.5" customHeight="1" x14ac:dyDescent="0.35">
      <c r="B290" s="548" t="s">
        <v>304</v>
      </c>
      <c r="C290" s="549"/>
      <c r="D290" s="550"/>
      <c r="E290" s="418">
        <f>+H266</f>
        <v>0</v>
      </c>
      <c r="F290" s="419"/>
      <c r="H290" s="420"/>
      <c r="I290" s="420"/>
      <c r="J290" s="420"/>
    </row>
    <row r="291" spans="2:10" ht="30.5" customHeight="1" x14ac:dyDescent="0.35">
      <c r="B291" s="548" t="s">
        <v>305</v>
      </c>
      <c r="C291" s="549"/>
      <c r="D291" s="550"/>
      <c r="E291" s="418">
        <f>+I266</f>
        <v>0</v>
      </c>
      <c r="F291" s="419"/>
      <c r="H291" s="406"/>
      <c r="I291" s="406"/>
      <c r="J291" s="406"/>
    </row>
    <row r="292" spans="2:10" ht="17.5" customHeight="1" x14ac:dyDescent="0.35">
      <c r="B292" s="548" t="s">
        <v>403</v>
      </c>
      <c r="C292" s="549"/>
      <c r="D292" s="550"/>
      <c r="E292" s="421">
        <f>SUM(E290:E291)</f>
        <v>0</v>
      </c>
      <c r="F292" s="419"/>
      <c r="H292" s="406"/>
      <c r="I292" s="406"/>
      <c r="J292" s="406"/>
    </row>
    <row r="293" spans="2:10" ht="17.5" x14ac:dyDescent="0.35">
      <c r="B293" s="530" t="s">
        <v>306</v>
      </c>
      <c r="C293" s="531"/>
      <c r="D293" s="532"/>
      <c r="E293" s="422">
        <f>+F260+F261+F262</f>
        <v>0</v>
      </c>
      <c r="F293" s="423"/>
      <c r="H293" s="406"/>
      <c r="I293" s="406"/>
      <c r="J293" s="406"/>
    </row>
    <row r="294" spans="2:10" ht="17.5" x14ac:dyDescent="0.35">
      <c r="B294" s="530" t="s">
        <v>307</v>
      </c>
      <c r="C294" s="531"/>
      <c r="D294" s="532"/>
      <c r="E294" s="422">
        <f>+F263+F264+F265</f>
        <v>0</v>
      </c>
      <c r="F294" s="423"/>
      <c r="H294" s="406"/>
      <c r="I294" s="406"/>
      <c r="J294" s="406"/>
    </row>
    <row r="295" spans="2:10" ht="17.5" x14ac:dyDescent="0.35">
      <c r="B295" s="530" t="s">
        <v>308</v>
      </c>
      <c r="C295" s="531"/>
      <c r="D295" s="532"/>
      <c r="E295" s="424">
        <f>'7990NTP-NP'!E70</f>
        <v>0</v>
      </c>
      <c r="F295" s="423"/>
      <c r="H295" s="406"/>
      <c r="I295" s="406"/>
      <c r="J295" s="406"/>
    </row>
    <row r="296" spans="2:10" ht="17.5" x14ac:dyDescent="0.35">
      <c r="B296" s="530" t="s">
        <v>309</v>
      </c>
      <c r="C296" s="531"/>
      <c r="D296" s="532"/>
      <c r="E296" s="424">
        <f>'7990NTP-NP'!E71</f>
        <v>0</v>
      </c>
      <c r="F296" s="423"/>
      <c r="H296" s="406"/>
      <c r="I296" s="406"/>
      <c r="J296" s="406"/>
    </row>
    <row r="297" spans="2:10" ht="17.5" x14ac:dyDescent="0.35">
      <c r="B297" s="530" t="s">
        <v>310</v>
      </c>
      <c r="C297" s="531"/>
      <c r="D297" s="532"/>
      <c r="E297" s="424">
        <f>'7990NTP-NP'!E72</f>
        <v>0</v>
      </c>
      <c r="F297" s="423"/>
      <c r="H297" s="406"/>
      <c r="I297" s="406"/>
      <c r="J297" s="406"/>
    </row>
    <row r="298" spans="2:10" ht="17.5" x14ac:dyDescent="0.35">
      <c r="B298" s="530" t="s">
        <v>301</v>
      </c>
      <c r="C298" s="531"/>
      <c r="D298" s="532"/>
      <c r="E298" s="424">
        <f>'7990NTP-NP'!E73</f>
        <v>0</v>
      </c>
      <c r="F298" s="425"/>
      <c r="H298" s="406"/>
      <c r="I298" s="406"/>
      <c r="J298" s="406"/>
    </row>
    <row r="299" spans="2:10" ht="17.5" x14ac:dyDescent="0.35">
      <c r="B299" s="530" t="s">
        <v>290</v>
      </c>
      <c r="C299" s="531"/>
      <c r="D299" s="532"/>
      <c r="E299" s="424">
        <f>'7990NTP-NP'!E74</f>
        <v>0</v>
      </c>
      <c r="F299" s="425"/>
      <c r="H299" s="406"/>
      <c r="I299" s="406"/>
      <c r="J299" s="406"/>
    </row>
    <row r="300" spans="2:10" ht="17.5" x14ac:dyDescent="0.35">
      <c r="B300" s="530" t="s">
        <v>286</v>
      </c>
      <c r="C300" s="531"/>
      <c r="D300" s="532"/>
      <c r="E300" s="424">
        <f>'7990NTP-NP'!E75</f>
        <v>0</v>
      </c>
      <c r="F300" s="425"/>
      <c r="H300" s="406"/>
      <c r="I300" s="406"/>
      <c r="J300" s="406"/>
    </row>
    <row r="301" spans="2:10" ht="17.5" x14ac:dyDescent="0.35">
      <c r="B301" s="533" t="s">
        <v>284</v>
      </c>
      <c r="C301" s="534"/>
      <c r="D301" s="535"/>
      <c r="E301" s="424">
        <f>'7990NTP-NP'!E76</f>
        <v>0</v>
      </c>
      <c r="F301" s="425"/>
      <c r="H301" s="406"/>
      <c r="I301" s="406"/>
      <c r="J301" s="406"/>
    </row>
    <row r="302" spans="2:10" ht="16" thickBot="1" x14ac:dyDescent="0.4">
      <c r="B302" s="536"/>
      <c r="C302" s="537"/>
      <c r="D302" s="538"/>
      <c r="E302" s="426"/>
      <c r="F302" s="427"/>
      <c r="H302" s="406"/>
      <c r="I302" s="406"/>
      <c r="J302" s="406"/>
    </row>
    <row r="303" spans="2:10" ht="15.5" thickBot="1" x14ac:dyDescent="0.3">
      <c r="B303" s="542" t="s">
        <v>311</v>
      </c>
      <c r="C303" s="543"/>
      <c r="D303" s="543"/>
      <c r="E303" s="543"/>
      <c r="F303" s="544"/>
      <c r="H303" s="402"/>
      <c r="I303" s="402"/>
      <c r="J303" s="402"/>
    </row>
    <row r="304" spans="2:10" ht="15" x14ac:dyDescent="0.3">
      <c r="B304" s="539" t="s">
        <v>312</v>
      </c>
      <c r="C304" s="540"/>
      <c r="D304" s="541"/>
      <c r="E304" s="428" t="s">
        <v>313</v>
      </c>
      <c r="F304" s="429" t="s">
        <v>314</v>
      </c>
      <c r="H304" s="98"/>
      <c r="I304" s="98"/>
      <c r="J304" s="98"/>
    </row>
    <row r="305" spans="2:10" ht="15.5" x14ac:dyDescent="0.35">
      <c r="B305" s="527" t="s">
        <v>7</v>
      </c>
      <c r="C305" s="528"/>
      <c r="D305" s="529"/>
      <c r="E305" s="430">
        <f>'7990NTP-NP'!C80</f>
        <v>14.2</v>
      </c>
      <c r="F305" s="431">
        <f>'7990NTP-NP'!D80</f>
        <v>14.2</v>
      </c>
      <c r="H305" s="98"/>
      <c r="I305" s="98"/>
      <c r="J305" s="98"/>
    </row>
    <row r="306" spans="2:10" ht="15.5" x14ac:dyDescent="0.35">
      <c r="B306" s="527" t="s">
        <v>8</v>
      </c>
      <c r="C306" s="528"/>
      <c r="D306" s="529"/>
      <c r="E306" s="430">
        <f>'7990NTP-NP'!C81</f>
        <v>16.649999999999999</v>
      </c>
      <c r="F306" s="431">
        <f>'7990NTP-NP'!D81</f>
        <v>16.649999999999999</v>
      </c>
      <c r="H306" s="98"/>
      <c r="I306" s="98"/>
      <c r="J306" s="98"/>
    </row>
    <row r="307" spans="2:10" ht="15.5" x14ac:dyDescent="0.35">
      <c r="B307" s="527" t="s">
        <v>9</v>
      </c>
      <c r="C307" s="528"/>
      <c r="D307" s="529"/>
      <c r="E307" s="430">
        <f>'7990NTP-NP'!C82</f>
        <v>3.8</v>
      </c>
      <c r="F307" s="431">
        <f>'7990NTP-NP'!D82</f>
        <v>3.8</v>
      </c>
      <c r="H307" s="98"/>
      <c r="I307" s="98"/>
      <c r="J307" s="98"/>
    </row>
    <row r="308" spans="2:10" ht="15.5" x14ac:dyDescent="0.35">
      <c r="B308" s="521" t="s">
        <v>301</v>
      </c>
      <c r="C308" s="522"/>
      <c r="D308" s="523"/>
      <c r="E308" s="458">
        <f>'7990NTP-NP'!C83</f>
        <v>29.27</v>
      </c>
      <c r="F308" s="431">
        <f>'7990NTP-NP'!D83</f>
        <v>29.27</v>
      </c>
      <c r="H308" s="98"/>
      <c r="I308" s="98"/>
      <c r="J308" s="98"/>
    </row>
    <row r="309" spans="2:10" ht="15.5" x14ac:dyDescent="0.35">
      <c r="B309" s="521" t="s">
        <v>290</v>
      </c>
      <c r="C309" s="522"/>
      <c r="D309" s="523"/>
      <c r="E309" s="430">
        <f>'7990NTP-NP'!C84</f>
        <v>31.03</v>
      </c>
      <c r="F309" s="431">
        <f>'7990NTP-NP'!D84</f>
        <v>31.03</v>
      </c>
      <c r="H309" s="98"/>
      <c r="I309" s="98"/>
      <c r="J309" s="98"/>
    </row>
    <row r="310" spans="2:10" ht="15.5" x14ac:dyDescent="0.35">
      <c r="B310" s="521" t="s">
        <v>286</v>
      </c>
      <c r="C310" s="522"/>
      <c r="D310" s="523"/>
      <c r="E310" s="430">
        <f>'7990NTP-NP'!C85</f>
        <v>10.220000000000001</v>
      </c>
      <c r="F310" s="431">
        <f>'7990NTP-NP'!D85</f>
        <v>10.220000000000001</v>
      </c>
      <c r="H310" s="98"/>
      <c r="I310" s="98"/>
      <c r="J310" s="98"/>
    </row>
    <row r="311" spans="2:10" ht="16" thickBot="1" x14ac:dyDescent="0.4">
      <c r="B311" s="524" t="s">
        <v>284</v>
      </c>
      <c r="C311" s="525"/>
      <c r="D311" s="526"/>
      <c r="E311" s="432">
        <f>'7990NTP-NP'!C86</f>
        <v>144.66</v>
      </c>
      <c r="F311" s="433">
        <f>'7990NTP-NP'!D86</f>
        <v>144.66</v>
      </c>
      <c r="H311" s="98"/>
      <c r="I311" s="98"/>
      <c r="J311" s="98"/>
    </row>
    <row r="312" spans="2:10" x14ac:dyDescent="0.25">
      <c r="B312" s="434"/>
      <c r="C312" s="434"/>
      <c r="D312" s="434"/>
      <c r="E312" s="434"/>
      <c r="F312" s="434"/>
      <c r="G312" s="434"/>
      <c r="H312" s="435"/>
      <c r="I312" s="436"/>
      <c r="J312" s="436"/>
    </row>
    <row r="313" spans="2:10" ht="12.65" customHeight="1" x14ac:dyDescent="0.3">
      <c r="B313" s="577" t="s">
        <v>315</v>
      </c>
      <c r="C313" s="577"/>
      <c r="D313" s="577"/>
      <c r="E313" s="577"/>
      <c r="F313" s="577"/>
      <c r="G313" s="577"/>
      <c r="H313" s="577"/>
      <c r="I313" s="437"/>
      <c r="J313" s="437"/>
    </row>
    <row r="314" spans="2:10" ht="12.65" customHeight="1" x14ac:dyDescent="0.3">
      <c r="B314" s="577"/>
      <c r="C314" s="577"/>
      <c r="D314" s="577"/>
      <c r="E314" s="577"/>
      <c r="F314" s="577"/>
      <c r="G314" s="577"/>
      <c r="H314" s="577"/>
      <c r="I314" s="437"/>
      <c r="J314" s="437"/>
    </row>
    <row r="315" spans="2:10" ht="13" x14ac:dyDescent="0.3">
      <c r="B315" s="438" t="s">
        <v>316</v>
      </c>
      <c r="C315" s="438"/>
      <c r="D315" s="434"/>
      <c r="E315" s="434"/>
      <c r="F315" s="434"/>
      <c r="G315" s="434"/>
      <c r="H315" s="435"/>
      <c r="I315" s="436"/>
      <c r="J315" s="436"/>
    </row>
  </sheetData>
  <sheetProtection algorithmName="SHA-512" hashValue="ZRxPAwZCQQtdl9egoMpJcQX+ZixK9K/4529jAghENgGNtK9PKN4nCLlPuKsR88Kq1Euo05RJ6C4UDJbxwCf2mg==" saltValue="Z2DKyKKloFQrUDf6dgfJeA==" spinCount="100000" sheet="1" objects="1" scenarios="1"/>
  <mergeCells count="74">
    <mergeCell ref="B313:H314"/>
    <mergeCell ref="B215:D215"/>
    <mergeCell ref="B221:D221"/>
    <mergeCell ref="B233:D233"/>
    <mergeCell ref="B234:D234"/>
    <mergeCell ref="B235:D235"/>
    <mergeCell ref="B236:D236"/>
    <mergeCell ref="B237:D237"/>
    <mergeCell ref="B238:D238"/>
    <mergeCell ref="B239:D239"/>
    <mergeCell ref="B240:D240"/>
    <mergeCell ref="B241:D241"/>
    <mergeCell ref="B242:D242"/>
    <mergeCell ref="B243:D243"/>
    <mergeCell ref="B244:D244"/>
    <mergeCell ref="B245:D245"/>
    <mergeCell ref="B246:D246"/>
    <mergeCell ref="B247:D247"/>
    <mergeCell ref="B248:D248"/>
    <mergeCell ref="B249:D249"/>
    <mergeCell ref="B250:D250"/>
    <mergeCell ref="B251:D251"/>
    <mergeCell ref="B252:D252"/>
    <mergeCell ref="B253:D253"/>
    <mergeCell ref="B254:D254"/>
    <mergeCell ref="B255:D255"/>
    <mergeCell ref="B256:D256"/>
    <mergeCell ref="B257:D257"/>
    <mergeCell ref="B258:D258"/>
    <mergeCell ref="B259:D259"/>
    <mergeCell ref="B260:D260"/>
    <mergeCell ref="B261:D261"/>
    <mergeCell ref="B262:D262"/>
    <mergeCell ref="B263:D263"/>
    <mergeCell ref="B264:D264"/>
    <mergeCell ref="B265:D265"/>
    <mergeCell ref="B266:D266"/>
    <mergeCell ref="B278:D278"/>
    <mergeCell ref="B288:F288"/>
    <mergeCell ref="B269:C269"/>
    <mergeCell ref="B270:C270"/>
    <mergeCell ref="B271:C271"/>
    <mergeCell ref="B272:C272"/>
    <mergeCell ref="B273:C273"/>
    <mergeCell ref="B274:C274"/>
    <mergeCell ref="B289:D289"/>
    <mergeCell ref="B290:D290"/>
    <mergeCell ref="B291:D291"/>
    <mergeCell ref="B292:D292"/>
    <mergeCell ref="B293:D293"/>
    <mergeCell ref="B294:D294"/>
    <mergeCell ref="B295:D295"/>
    <mergeCell ref="B296:D296"/>
    <mergeCell ref="B297:D297"/>
    <mergeCell ref="B298:D298"/>
    <mergeCell ref="B299:D299"/>
    <mergeCell ref="B300:D300"/>
    <mergeCell ref="B301:D301"/>
    <mergeCell ref="B302:D302"/>
    <mergeCell ref="B304:D304"/>
    <mergeCell ref="B303:F303"/>
    <mergeCell ref="B310:D310"/>
    <mergeCell ref="B311:D311"/>
    <mergeCell ref="B305:D305"/>
    <mergeCell ref="B306:D306"/>
    <mergeCell ref="B307:D307"/>
    <mergeCell ref="B308:D308"/>
    <mergeCell ref="B309:D309"/>
    <mergeCell ref="B13:C13"/>
    <mergeCell ref="B6:E6"/>
    <mergeCell ref="B7:E7"/>
    <mergeCell ref="B2:D2"/>
    <mergeCell ref="B3:D3"/>
    <mergeCell ref="B4:D4"/>
  </mergeCells>
  <phoneticPr fontId="21" type="noConversion"/>
  <conditionalFormatting sqref="B304">
    <cfRule type="expression" dxfId="0" priority="4" stopIfTrue="1">
      <formula>OR(ABS(#REF!-$E304)&gt;=1,AND(OR(ABS(#REF!-#REF!)&gt;=1,ABS(#REF!-$E304)&gt;=1),OR(MIN(#REF!,#REF!,#REF!)&lt;&gt;0,MAX(#REF!,#REF!,#REF!)&lt;&gt;0)))</formula>
    </cfRule>
  </conditionalFormatting>
  <dataValidations count="10">
    <dataValidation type="whole" operator="greaterThan" allowBlank="1" showInputMessage="1" showErrorMessage="1" sqref="C232:G232" xr:uid="{00000000-0002-0000-0100-000000000000}">
      <formula1>0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7990. Review to ensure that these amounts match." sqref="F291" xr:uid="{00000000-0002-0000-0100-000001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7990, and if the 7895 is required, that form as well. Review to ensure that these amounts match." sqref="F295:F301" xr:uid="{00000000-0002-0000-0100-000002000000}">
      <formula1>2</formula1>
    </dataValidation>
    <dataValidation type="decimal" operator="greaterThanOrEqual" allowBlank="1" showInputMessage="1" showErrorMessage="1" errorTitle="Invalid Entry" error="Must be a whole number &gt;= 0." promptTitle="Fiscal Detail Amount" prompt="Fiscal detail must match the amounts on the 7895, when that form is required. Review to ensure that these amounts match." sqref="G281" xr:uid="{00000000-0002-0000-0100-000003000000}">
      <formula1>2</formula1>
    </dataValidation>
    <dataValidation type="decimal" operator="greaterThanOrEqual" allowBlank="1" showInputMessage="1" errorTitle="Invalid Entry" error="Must be a whole number &gt;= 0." promptTitle=" Fiscal Detail Amount" prompt="Fiscal detail  must match the amounts on the FL Info. Review to ensure that these amounts match." sqref="F289" xr:uid="{00000000-0002-0000-0100-000004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 must match the amounts on the FL Info, and if the 7895 is required, that form as well. Review to ensure that these amounts match." sqref="F293" xr:uid="{00000000-0002-0000-0100-000005000000}">
      <formula1>2</formula1>
    </dataValidation>
    <dataValidation type="whole" operator="greaterThanOrEqual" allowBlank="1" showInputMessage="1" errorTitle="Invalid Entry" error="Must be a whole number &gt;= 0." promptTitle="Fiscal Detail Amount" prompt="Fiscal detail must match the amounts on the 7895, when that form is required. Review to ensure that these amounts match." sqref="G282:G287" xr:uid="{00000000-0002-0000-0100-000006000000}">
      <formula1>0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7895, when that form is required. Review to ensure that these amounts match." sqref="G280" xr:uid="{00000000-0002-0000-0100-000007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FL Info. Review to ensure that these amounts match." sqref="F302 F290 F292" xr:uid="{00000000-0002-0000-0100-000008000000}">
      <formula1>2</formula1>
    </dataValidation>
    <dataValidation type="decimal" operator="greaterThanOrEqual" allowBlank="1" showInputMessage="1" errorTitle="Invalid Entry" error="Must be a whole number &gt;= 0." promptTitle="Fiscal Detail Amount" prompt="Fiscal detail must match the amounts on the FL Info, and if the 7895 is required, that form as well. Review to ensure that these amounts match." sqref="F294" xr:uid="{00000000-0002-0000-0100-000009000000}">
      <formula1>2</formula1>
    </dataValidation>
  </dataValidations>
  <pageMargins left="0.7" right="0.7" top="0.5" bottom="0.5" header="0.3" footer="0.3"/>
  <pageSetup scale="10" orientation="portrait" r:id="rId1"/>
  <headerFooter>
    <oddFooter>&amp;LDHCS 5994 (04/15) 
&amp;F - &amp;A</oddFooter>
  </headerFooter>
  <ignoredErrors>
    <ignoredError sqref="A211 A218 A229" numberStoredAsText="1"/>
    <ignoredError sqref="G161 G165 G167 G169 G171 G177 G180 G183 G186 G189 G192 G195 G198 G201 G204 G207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2F438DACE003469E04AF99092F4455" ma:contentTypeVersion="12" ma:contentTypeDescription="Create a new document." ma:contentTypeScope="" ma:versionID="1a09f3d0e1168607ba741a7399aa284b">
  <xsd:schema xmlns:xsd="http://www.w3.org/2001/XMLSchema" xmlns:xs="http://www.w3.org/2001/XMLSchema" xmlns:p="http://schemas.microsoft.com/office/2006/metadata/properties" xmlns:ns2="e0bb997e-2dca-4117-bce7-f5bed57e6f31" xmlns:ns3="7d887869-8a95-49a4-bc6a-1081dc72a4ca" targetNamespace="http://schemas.microsoft.com/office/2006/metadata/properties" ma:root="true" ma:fieldsID="aa907ee0cdfe9d4ac3c41dff68cb9af1" ns2:_="" ns3:_="">
    <xsd:import namespace="e0bb997e-2dca-4117-bce7-f5bed57e6f31"/>
    <xsd:import namespace="7d887869-8a95-49a4-bc6a-1081dc72a4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b997e-2dca-4117-bce7-f5bed57e6f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377eeec-9545-4db6-a5b8-3c28df25bf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87869-8a95-49a4-bc6a-1081dc72a4c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9a5a307-94a4-4dbb-b7f2-68300228844f}" ma:internalName="TaxCatchAll" ma:showField="CatchAllData" ma:web="7d887869-8a95-49a4-bc6a-1081dc72a4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bb997e-2dca-4117-bce7-f5bed57e6f31">
      <Terms xmlns="http://schemas.microsoft.com/office/infopath/2007/PartnerControls"/>
    </lcf76f155ced4ddcb4097134ff3c332f>
    <TaxCatchAll xmlns="7d887869-8a95-49a4-bc6a-1081dc72a4ca" xsi:nil="true"/>
  </documentManagement>
</p:properties>
</file>

<file path=customXml/itemProps1.xml><?xml version="1.0" encoding="utf-8"?>
<ds:datastoreItem xmlns:ds="http://schemas.openxmlformats.org/officeDocument/2006/customXml" ds:itemID="{8304068F-46E7-418F-85A9-9B8B055B8937}"/>
</file>

<file path=customXml/itemProps2.xml><?xml version="1.0" encoding="utf-8"?>
<ds:datastoreItem xmlns:ds="http://schemas.openxmlformats.org/officeDocument/2006/customXml" ds:itemID="{147A9C30-A8DB-4E5F-9667-7996667DB363}"/>
</file>

<file path=customXml/itemProps3.xml><?xml version="1.0" encoding="utf-8"?>
<ds:datastoreItem xmlns:ds="http://schemas.openxmlformats.org/officeDocument/2006/customXml" ds:itemID="{0607D1AF-E0A5-4725-BA96-206AB0D332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7990NTP-NP</vt:lpstr>
      <vt:lpstr>FL Info</vt:lpstr>
      <vt:lpstr>'7990NTP-NP'!Print_Area</vt:lpstr>
      <vt:lpstr>'FL Info'!Print_Area</vt:lpstr>
    </vt:vector>
  </TitlesOfParts>
  <Company>Department of Alcohol &amp; Drug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ADP</dc:creator>
  <cp:lastModifiedBy>Schroeder, Kevin@DHCS</cp:lastModifiedBy>
  <cp:lastPrinted>2019-05-29T18:15:48Z</cp:lastPrinted>
  <dcterms:created xsi:type="dcterms:W3CDTF">1999-07-07T16:24:46Z</dcterms:created>
  <dcterms:modified xsi:type="dcterms:W3CDTF">2024-10-01T21:41:40Z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0x0101007E2F438DACE003469E04AF99092F4455</vt:lpwstr>
  </property>
</Properties>
</file>